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Google Drive\PROJETOS\Projeto paisagismo salão multiuso\"/>
    </mc:Choice>
  </mc:AlternateContent>
  <bookViews>
    <workbookView xWindow="-120" yWindow="-120" windowWidth="20730" windowHeight="11160" firstSheet="1" activeTab="5"/>
  </bookViews>
  <sheets>
    <sheet name="BDI" sheetId="10" state="hidden" r:id="rId1"/>
    <sheet name="COMP" sheetId="20" r:id="rId2"/>
    <sheet name="aux" sheetId="19" state="hidden" r:id="rId3"/>
    <sheet name="aços" sheetId="21" state="hidden" r:id="rId4"/>
    <sheet name="MC" sheetId="8" state="hidden" r:id="rId5"/>
    <sheet name="PO" sheetId="4" r:id="rId6"/>
    <sheet name="CFF" sheetId="16" r:id="rId7"/>
    <sheet name="Planilha1" sheetId="15" state="hidden" r:id="rId8"/>
    <sheet name="AÇO" sheetId="12" state="hidden" r:id="rId9"/>
  </sheets>
  <definedNames>
    <definedName name="_xlnm.Print_Titles" localSheetId="4">MC!$1:$9</definedName>
    <definedName name="_xlnm.Print_Titles" localSheetId="5">PO!$1:$13</definedName>
  </definedNames>
  <calcPr calcId="162913"/>
</workbook>
</file>

<file path=xl/calcChain.xml><?xml version="1.0" encoding="utf-8"?>
<calcChain xmlns="http://schemas.openxmlformats.org/spreadsheetml/2006/main">
  <c r="D26" i="20" l="1"/>
  <c r="D27" i="20"/>
  <c r="D28" i="20"/>
  <c r="D25" i="20"/>
  <c r="D333" i="8"/>
  <c r="D334" i="8"/>
  <c r="D335" i="8"/>
  <c r="D332" i="8"/>
  <c r="F296" i="8" l="1"/>
  <c r="F258" i="8"/>
  <c r="F274" i="8"/>
  <c r="F200" i="8"/>
  <c r="F278" i="8" s="1"/>
  <c r="F201" i="8"/>
  <c r="F197" i="8"/>
  <c r="F196" i="8" s="1"/>
  <c r="B95" i="8" l="1"/>
  <c r="C95" i="8"/>
  <c r="D95" i="8"/>
  <c r="E95" i="8"/>
  <c r="G95" i="8" s="1"/>
  <c r="A95" i="8"/>
  <c r="B51" i="4"/>
  <c r="F88" i="8"/>
  <c r="F87" i="8" s="1"/>
  <c r="F48" i="4" s="1"/>
  <c r="C87" i="8"/>
  <c r="D87" i="8"/>
  <c r="E87" i="8"/>
  <c r="G87" i="8" s="1"/>
  <c r="A87" i="8"/>
  <c r="F96" i="8" l="1"/>
  <c r="F95" i="8" s="1"/>
  <c r="F51" i="4" s="1"/>
  <c r="B32" i="16"/>
  <c r="B29" i="16"/>
  <c r="B26" i="16"/>
  <c r="B23" i="16"/>
  <c r="B20" i="16"/>
  <c r="B17" i="16"/>
  <c r="B14" i="16"/>
  <c r="B11" i="16"/>
  <c r="A32" i="16"/>
  <c r="A29" i="16"/>
  <c r="A26" i="16"/>
  <c r="A23" i="16"/>
  <c r="A20" i="16"/>
  <c r="A17" i="16"/>
  <c r="A14" i="16"/>
  <c r="A11" i="16"/>
  <c r="F327" i="8" l="1"/>
  <c r="F104" i="4" s="1"/>
  <c r="C327" i="8"/>
  <c r="D327" i="8"/>
  <c r="E327" i="8"/>
  <c r="G327" i="8" s="1"/>
  <c r="A327" i="8"/>
  <c r="F98" i="4"/>
  <c r="F325" i="8"/>
  <c r="F103" i="4" s="1"/>
  <c r="F316" i="8"/>
  <c r="F101" i="4" s="1"/>
  <c r="F320" i="8"/>
  <c r="F102" i="4" s="1"/>
  <c r="C320" i="8"/>
  <c r="D320" i="8"/>
  <c r="E320" i="8"/>
  <c r="G320" i="8" s="1"/>
  <c r="A320" i="8"/>
  <c r="B102" i="4"/>
  <c r="B320" i="8" s="1"/>
  <c r="F314" i="8"/>
  <c r="F100" i="4" s="1"/>
  <c r="F307" i="8"/>
  <c r="F311" i="8"/>
  <c r="F99" i="4" s="1"/>
  <c r="F304" i="8"/>
  <c r="F97" i="4" s="1"/>
  <c r="F299" i="8"/>
  <c r="F96" i="4" s="1"/>
  <c r="A304" i="8"/>
  <c r="C304" i="8"/>
  <c r="D304" i="8"/>
  <c r="E304" i="8"/>
  <c r="G304" i="8" s="1"/>
  <c r="A307" i="8"/>
  <c r="C307" i="8"/>
  <c r="D307" i="8"/>
  <c r="E307" i="8"/>
  <c r="G307" i="8" s="1"/>
  <c r="A311" i="8"/>
  <c r="C311" i="8"/>
  <c r="D311" i="8"/>
  <c r="E311" i="8"/>
  <c r="G311" i="8" s="1"/>
  <c r="A314" i="8"/>
  <c r="C314" i="8"/>
  <c r="D314" i="8"/>
  <c r="E314" i="8"/>
  <c r="G314" i="8" s="1"/>
  <c r="A316" i="8"/>
  <c r="B316" i="8"/>
  <c r="C316" i="8"/>
  <c r="D316" i="8"/>
  <c r="E316" i="8"/>
  <c r="G316" i="8" s="1"/>
  <c r="A325" i="8"/>
  <c r="C325" i="8"/>
  <c r="D325" i="8"/>
  <c r="E325" i="8"/>
  <c r="G325" i="8" s="1"/>
  <c r="C299" i="8"/>
  <c r="D299" i="8"/>
  <c r="E299" i="8"/>
  <c r="G299" i="8" s="1"/>
  <c r="A299" i="8"/>
  <c r="F298" i="8"/>
  <c r="F297" i="8" s="1"/>
  <c r="F95" i="4" s="1"/>
  <c r="C297" i="8"/>
  <c r="D297" i="8"/>
  <c r="E297" i="8"/>
  <c r="G297" i="8" s="1"/>
  <c r="A297" i="8"/>
  <c r="F295" i="8"/>
  <c r="F94" i="4" s="1"/>
  <c r="F276" i="8" l="1"/>
  <c r="C274" i="8"/>
  <c r="D274" i="8"/>
  <c r="E274" i="8"/>
  <c r="G274" i="8" s="1"/>
  <c r="A274" i="8"/>
  <c r="F89" i="4" l="1"/>
  <c r="F275" i="8"/>
  <c r="F293" i="8"/>
  <c r="F286" i="8"/>
  <c r="G283" i="8"/>
  <c r="G285" i="8" s="1"/>
  <c r="F283" i="8"/>
  <c r="F294" i="8" s="1"/>
  <c r="D283" i="8"/>
  <c r="D285" i="8" s="1"/>
  <c r="F279" i="8"/>
  <c r="F90" i="4" s="1"/>
  <c r="F271" i="8"/>
  <c r="F268" i="8"/>
  <c r="F265" i="8"/>
  <c r="F259" i="8"/>
  <c r="F251" i="8"/>
  <c r="G251" i="8"/>
  <c r="G255" i="8" s="1"/>
  <c r="D251" i="8"/>
  <c r="D255" i="8" s="1"/>
  <c r="G250" i="8"/>
  <c r="G254" i="8" s="1"/>
  <c r="D250" i="8"/>
  <c r="D254" i="8" s="1"/>
  <c r="F249" i="8"/>
  <c r="F267" i="8" s="1"/>
  <c r="F245" i="8"/>
  <c r="F264" i="8" s="1"/>
  <c r="G237" i="8"/>
  <c r="G241" i="8" s="1"/>
  <c r="F237" i="8"/>
  <c r="F241" i="8" s="1"/>
  <c r="D237" i="8"/>
  <c r="D241" i="8" s="1"/>
  <c r="G238" i="8"/>
  <c r="G242" i="8" s="1"/>
  <c r="D238" i="8"/>
  <c r="D242" i="8" s="1"/>
  <c r="F234" i="8"/>
  <c r="F238" i="8" s="1"/>
  <c r="F236" i="8"/>
  <c r="F232" i="8"/>
  <c r="F228" i="8"/>
  <c r="F227" i="8" s="1"/>
  <c r="F226" i="8" s="1"/>
  <c r="F84" i="4" s="1"/>
  <c r="F224" i="8"/>
  <c r="F223" i="8" s="1"/>
  <c r="F221" i="8"/>
  <c r="F220" i="8" s="1"/>
  <c r="F217" i="8"/>
  <c r="F216" i="8" s="1"/>
  <c r="F215" i="8" s="1"/>
  <c r="F82" i="4" s="1"/>
  <c r="F213" i="8"/>
  <c r="F214" i="8"/>
  <c r="F210" i="8"/>
  <c r="F209" i="8" s="1"/>
  <c r="F207" i="8"/>
  <c r="F204" i="8" s="1"/>
  <c r="F80" i="4" s="1"/>
  <c r="F282" i="8" l="1"/>
  <c r="F91" i="4" s="1"/>
  <c r="F285" i="8"/>
  <c r="F284" i="8" s="1"/>
  <c r="F92" i="4" s="1"/>
  <c r="F289" i="8"/>
  <c r="F288" i="8" s="1"/>
  <c r="F263" i="8"/>
  <c r="F219" i="8"/>
  <c r="F83" i="4" s="1"/>
  <c r="F212" i="8"/>
  <c r="F208" i="8" s="1"/>
  <c r="F81" i="4" s="1"/>
  <c r="F235" i="8"/>
  <c r="F244" i="8"/>
  <c r="F266" i="8"/>
  <c r="F240" i="8"/>
  <c r="F253" i="8" s="1"/>
  <c r="F292" i="8" s="1"/>
  <c r="F291" i="8" s="1"/>
  <c r="F248" i="8"/>
  <c r="F242" i="8"/>
  <c r="F231" i="8"/>
  <c r="F79" i="4"/>
  <c r="A196" i="8"/>
  <c r="C196" i="8"/>
  <c r="D196" i="8"/>
  <c r="E196" i="8"/>
  <c r="G196" i="8" s="1"/>
  <c r="A204" i="8"/>
  <c r="C204" i="8"/>
  <c r="D204" i="8"/>
  <c r="E204" i="8"/>
  <c r="G204" i="8" s="1"/>
  <c r="A208" i="8"/>
  <c r="C208" i="8"/>
  <c r="D208" i="8"/>
  <c r="E208" i="8"/>
  <c r="G208" i="8" s="1"/>
  <c r="A215" i="8"/>
  <c r="C215" i="8"/>
  <c r="D215" i="8"/>
  <c r="E215" i="8"/>
  <c r="G215" i="8" s="1"/>
  <c r="A219" i="8"/>
  <c r="C219" i="8"/>
  <c r="D219" i="8"/>
  <c r="E219" i="8"/>
  <c r="G219" i="8" s="1"/>
  <c r="A226" i="8"/>
  <c r="C226" i="8"/>
  <c r="D226" i="8"/>
  <c r="E226" i="8"/>
  <c r="G226" i="8" s="1"/>
  <c r="A230" i="8"/>
  <c r="C230" i="8"/>
  <c r="D230" i="8"/>
  <c r="E230" i="8"/>
  <c r="G230" i="8" s="1"/>
  <c r="A243" i="8"/>
  <c r="C243" i="8"/>
  <c r="D243" i="8"/>
  <c r="E243" i="8"/>
  <c r="G243" i="8" s="1"/>
  <c r="A262" i="8"/>
  <c r="C262" i="8"/>
  <c r="D262" i="8"/>
  <c r="E262" i="8"/>
  <c r="G262" i="8" s="1"/>
  <c r="A272" i="8"/>
  <c r="C272" i="8"/>
  <c r="D272" i="8"/>
  <c r="E272" i="8"/>
  <c r="G272" i="8" s="1"/>
  <c r="A279" i="8"/>
  <c r="C279" i="8"/>
  <c r="D279" i="8"/>
  <c r="E279" i="8"/>
  <c r="G279" i="8" s="1"/>
  <c r="A282" i="8"/>
  <c r="C282" i="8"/>
  <c r="D282" i="8"/>
  <c r="E282" i="8"/>
  <c r="G282" i="8" s="1"/>
  <c r="A284" i="8"/>
  <c r="C284" i="8"/>
  <c r="D284" i="8"/>
  <c r="E284" i="8"/>
  <c r="G284" i="8" s="1"/>
  <c r="A287" i="8"/>
  <c r="C287" i="8"/>
  <c r="D287" i="8"/>
  <c r="E287" i="8"/>
  <c r="G287" i="8" s="1"/>
  <c r="A295" i="8"/>
  <c r="C295" i="8"/>
  <c r="D295" i="8"/>
  <c r="E295" i="8"/>
  <c r="G295" i="8" s="1"/>
  <c r="D195" i="8"/>
  <c r="E195" i="8"/>
  <c r="A195" i="8"/>
  <c r="F287" i="8" l="1"/>
  <c r="F93" i="4" s="1"/>
  <c r="F270" i="8"/>
  <c r="F269" i="8" s="1"/>
  <c r="F262" i="8" s="1"/>
  <c r="F257" i="8"/>
  <c r="F256" i="8" s="1"/>
  <c r="F239" i="8"/>
  <c r="F230" i="8" s="1"/>
  <c r="F85" i="4" s="1"/>
  <c r="F252" i="8"/>
  <c r="F87" i="4" l="1"/>
  <c r="F273" i="8"/>
  <c r="F272" i="8" s="1"/>
  <c r="F88" i="4" s="1"/>
  <c r="F243" i="8"/>
  <c r="F86" i="4" s="1"/>
  <c r="F150" i="8"/>
  <c r="F148" i="8" s="1"/>
  <c r="F67" i="4" s="1"/>
  <c r="F147" i="8"/>
  <c r="F146" i="8"/>
  <c r="F145" i="8"/>
  <c r="C176" i="8"/>
  <c r="D176" i="8"/>
  <c r="E176" i="8"/>
  <c r="G176" i="8" s="1"/>
  <c r="A176" i="8"/>
  <c r="F191" i="8"/>
  <c r="F190" i="8" s="1"/>
  <c r="F188" i="8"/>
  <c r="F187" i="8" s="1"/>
  <c r="F183" i="8"/>
  <c r="F178" i="8" s="1"/>
  <c r="F182" i="8"/>
  <c r="F177" i="8" s="1"/>
  <c r="D175" i="8"/>
  <c r="C168" i="8"/>
  <c r="D168" i="8"/>
  <c r="E168" i="8"/>
  <c r="G168" i="8" s="1"/>
  <c r="A168" i="8"/>
  <c r="C166" i="8"/>
  <c r="D166" i="8"/>
  <c r="E166" i="8"/>
  <c r="G166" i="8" s="1"/>
  <c r="A166" i="8"/>
  <c r="F159" i="8"/>
  <c r="F164" i="8" s="1"/>
  <c r="F158" i="8"/>
  <c r="F173" i="8" s="1"/>
  <c r="F156" i="8"/>
  <c r="F160" i="8" s="1"/>
  <c r="F165" i="8" s="1"/>
  <c r="F184" i="8" s="1"/>
  <c r="F142" i="8"/>
  <c r="F141" i="8"/>
  <c r="F154" i="8" s="1"/>
  <c r="F140" i="8"/>
  <c r="F137" i="8"/>
  <c r="F134" i="8" s="1"/>
  <c r="F170" i="8" s="1"/>
  <c r="F181" i="8" l="1"/>
  <c r="F75" i="4" s="1"/>
  <c r="F144" i="8"/>
  <c r="F66" i="4" s="1"/>
  <c r="F64" i="4"/>
  <c r="F186" i="8"/>
  <c r="F139" i="8"/>
  <c r="F65" i="4" s="1"/>
  <c r="F175" i="8"/>
  <c r="F157" i="8"/>
  <c r="F69" i="4" s="1"/>
  <c r="F161" i="8"/>
  <c r="F153" i="8"/>
  <c r="F152" i="8" s="1"/>
  <c r="A139" i="8"/>
  <c r="C139" i="8"/>
  <c r="D139" i="8"/>
  <c r="E139" i="8"/>
  <c r="G139" i="8" s="1"/>
  <c r="A148" i="8"/>
  <c r="C148" i="8"/>
  <c r="D148" i="8"/>
  <c r="E148" i="8"/>
  <c r="G148" i="8" s="1"/>
  <c r="A157" i="8"/>
  <c r="C157" i="8"/>
  <c r="D157" i="8"/>
  <c r="E157" i="8"/>
  <c r="G157" i="8" s="1"/>
  <c r="A172" i="8"/>
  <c r="C172" i="8"/>
  <c r="D172" i="8"/>
  <c r="E172" i="8"/>
  <c r="G172" i="8" s="1"/>
  <c r="A134" i="8"/>
  <c r="C134" i="8"/>
  <c r="D134" i="8"/>
  <c r="E134" i="8"/>
  <c r="G134" i="8" s="1"/>
  <c r="A144" i="8"/>
  <c r="C144" i="8"/>
  <c r="D144" i="8"/>
  <c r="E144" i="8"/>
  <c r="G144" i="8" s="1"/>
  <c r="A152" i="8"/>
  <c r="C152" i="8"/>
  <c r="D152" i="8"/>
  <c r="E152" i="8"/>
  <c r="G152" i="8" s="1"/>
  <c r="A161" i="8"/>
  <c r="C161" i="8"/>
  <c r="D161" i="8"/>
  <c r="E161" i="8"/>
  <c r="G161" i="8" s="1"/>
  <c r="A181" i="8"/>
  <c r="C181" i="8"/>
  <c r="D181" i="8"/>
  <c r="E181" i="8"/>
  <c r="G181" i="8" s="1"/>
  <c r="A186" i="8"/>
  <c r="C186" i="8"/>
  <c r="D186" i="8"/>
  <c r="E186" i="8"/>
  <c r="G186" i="8" s="1"/>
  <c r="A193" i="8"/>
  <c r="C193" i="8"/>
  <c r="D193" i="8"/>
  <c r="E193" i="8"/>
  <c r="G193" i="8" s="1"/>
  <c r="D133" i="8"/>
  <c r="E133" i="8"/>
  <c r="A133" i="8"/>
  <c r="F172" i="8" l="1"/>
  <c r="F73" i="4" s="1"/>
  <c r="F180" i="8"/>
  <c r="F176" i="8" s="1"/>
  <c r="F74" i="4" s="1"/>
  <c r="F171" i="8"/>
  <c r="F169" i="8" s="1"/>
  <c r="F168" i="8" s="1"/>
  <c r="F72" i="4" s="1"/>
  <c r="F68" i="4"/>
  <c r="F167" i="8"/>
  <c r="F166" i="8" s="1"/>
  <c r="F71" i="4" s="1"/>
  <c r="F70" i="4"/>
  <c r="F76" i="4"/>
  <c r="F194" i="8"/>
  <c r="F193" i="8" s="1"/>
  <c r="F77" i="4" s="1"/>
  <c r="E60" i="21"/>
  <c r="D69" i="21"/>
  <c r="G69" i="21" s="1"/>
  <c r="G64" i="21"/>
  <c r="G63" i="21"/>
  <c r="G62" i="21"/>
  <c r="G61" i="21"/>
  <c r="G60" i="21"/>
  <c r="D67" i="21" s="1"/>
  <c r="G67" i="21" s="1"/>
  <c r="G57" i="21"/>
  <c r="G56" i="21"/>
  <c r="G55" i="21"/>
  <c r="G54" i="21"/>
  <c r="D70" i="21" s="1"/>
  <c r="G70" i="21" s="1"/>
  <c r="G72" i="21" s="1"/>
  <c r="G53" i="21"/>
  <c r="D68" i="21" s="1"/>
  <c r="G68" i="21" s="1"/>
  <c r="E29" i="21"/>
  <c r="E28" i="21"/>
  <c r="D44" i="21"/>
  <c r="G44" i="21" s="1"/>
  <c r="G39" i="21"/>
  <c r="G38" i="21"/>
  <c r="G37" i="21"/>
  <c r="G36" i="21"/>
  <c r="G35" i="21"/>
  <c r="G32" i="21"/>
  <c r="G31" i="21"/>
  <c r="G30" i="21"/>
  <c r="G29" i="21"/>
  <c r="G28" i="21"/>
  <c r="D17" i="21"/>
  <c r="G17" i="21" s="1"/>
  <c r="G22" i="21" s="1"/>
  <c r="G13" i="21"/>
  <c r="E6" i="21"/>
  <c r="G6" i="21" s="1"/>
  <c r="E7" i="21"/>
  <c r="G7" i="21" s="1"/>
  <c r="G71" i="21" l="1"/>
  <c r="D42" i="21"/>
  <c r="G42" i="21" s="1"/>
  <c r="D43" i="21"/>
  <c r="G43" i="21" s="1"/>
  <c r="D45" i="21"/>
  <c r="G45" i="21" s="1"/>
  <c r="G47" i="21" s="1"/>
  <c r="E5" i="21"/>
  <c r="G5" i="21" s="1"/>
  <c r="D16" i="21" s="1"/>
  <c r="G16" i="21" s="1"/>
  <c r="G19" i="21" s="1"/>
  <c r="G46" i="21" l="1"/>
  <c r="F130" i="8" l="1"/>
  <c r="F132" i="8"/>
  <c r="F131" i="8"/>
  <c r="F125" i="8"/>
  <c r="F121" i="8"/>
  <c r="F119" i="8"/>
  <c r="F117" i="8" s="1"/>
  <c r="F61" i="4" s="1"/>
  <c r="F115" i="8"/>
  <c r="F60" i="4" s="1"/>
  <c r="F112" i="8"/>
  <c r="F59" i="4" s="1"/>
  <c r="A115" i="8"/>
  <c r="C115" i="8"/>
  <c r="D115" i="8"/>
  <c r="E115" i="8"/>
  <c r="G115" i="8" s="1"/>
  <c r="A117" i="8"/>
  <c r="C117" i="8"/>
  <c r="D117" i="8"/>
  <c r="E117" i="8"/>
  <c r="G117" i="8" s="1"/>
  <c r="A120" i="8"/>
  <c r="C120" i="8"/>
  <c r="D120" i="8"/>
  <c r="E120" i="8"/>
  <c r="G120" i="8" s="1"/>
  <c r="C112" i="8"/>
  <c r="D112" i="8"/>
  <c r="E112" i="8"/>
  <c r="G112" i="8" s="1"/>
  <c r="A112" i="8"/>
  <c r="F110" i="8"/>
  <c r="F58" i="4" s="1"/>
  <c r="A110" i="8"/>
  <c r="C110" i="8"/>
  <c r="D110" i="8"/>
  <c r="E110" i="8"/>
  <c r="G110" i="8" s="1"/>
  <c r="D109" i="8"/>
  <c r="E109" i="8"/>
  <c r="A109" i="8"/>
  <c r="F129" i="8" l="1"/>
  <c r="F120" i="8" s="1"/>
  <c r="F62" i="4" s="1"/>
  <c r="D53" i="4"/>
  <c r="D100" i="8" s="1"/>
  <c r="C53" i="4"/>
  <c r="C100" i="8" s="1"/>
  <c r="H21" i="20"/>
  <c r="I21" i="20" s="1"/>
  <c r="H20" i="20"/>
  <c r="H17" i="20"/>
  <c r="H16" i="20"/>
  <c r="I16" i="20" s="1"/>
  <c r="H15" i="20"/>
  <c r="I15" i="20" s="1"/>
  <c r="I20" i="20"/>
  <c r="H19" i="20"/>
  <c r="I19" i="20" s="1"/>
  <c r="H18" i="20"/>
  <c r="I18" i="20" s="1"/>
  <c r="I17" i="20"/>
  <c r="C17" i="20"/>
  <c r="C18" i="20" s="1"/>
  <c r="C19" i="20" s="1"/>
  <c r="C16" i="20"/>
  <c r="B53" i="4"/>
  <c r="B100" i="8" s="1"/>
  <c r="F105" i="8"/>
  <c r="F104" i="8" s="1"/>
  <c r="F55" i="4" s="1"/>
  <c r="F102" i="8"/>
  <c r="F54" i="4" s="1"/>
  <c r="F100" i="8"/>
  <c r="F53" i="4" s="1"/>
  <c r="F97" i="8"/>
  <c r="F52" i="4" s="1"/>
  <c r="F93" i="8"/>
  <c r="F50" i="4" s="1"/>
  <c r="F91" i="8"/>
  <c r="F49" i="4" s="1"/>
  <c r="F85" i="8"/>
  <c r="F47" i="4" s="1"/>
  <c r="F83" i="8"/>
  <c r="F46" i="4" s="1"/>
  <c r="F81" i="8"/>
  <c r="F45" i="4" s="1"/>
  <c r="F79" i="8"/>
  <c r="F44" i="4" s="1"/>
  <c r="F77" i="8"/>
  <c r="F43" i="4" s="1"/>
  <c r="F75" i="8"/>
  <c r="F42" i="4" s="1"/>
  <c r="F73" i="8"/>
  <c r="F41" i="4" s="1"/>
  <c r="F71" i="8"/>
  <c r="F40" i="4" s="1"/>
  <c r="F62" i="8"/>
  <c r="F39" i="4" s="1"/>
  <c r="F60" i="8"/>
  <c r="F38" i="4" s="1"/>
  <c r="F58" i="8"/>
  <c r="F37" i="4" s="1"/>
  <c r="F56" i="8"/>
  <c r="F36" i="4" s="1"/>
  <c r="F54" i="8"/>
  <c r="F35" i="4" s="1"/>
  <c r="F52" i="8"/>
  <c r="F34" i="4" s="1"/>
  <c r="F50" i="8"/>
  <c r="F33" i="4" s="1"/>
  <c r="A102" i="8"/>
  <c r="C102" i="8"/>
  <c r="D102" i="8"/>
  <c r="E102" i="8"/>
  <c r="G102" i="8" s="1"/>
  <c r="A50" i="8"/>
  <c r="C50" i="8"/>
  <c r="D50" i="8"/>
  <c r="E50" i="8"/>
  <c r="G50" i="8" s="1"/>
  <c r="A52" i="8"/>
  <c r="C52" i="8"/>
  <c r="D52" i="8"/>
  <c r="E52" i="8"/>
  <c r="G52" i="8" s="1"/>
  <c r="A54" i="8"/>
  <c r="C54" i="8"/>
  <c r="D54" i="8"/>
  <c r="E54" i="8"/>
  <c r="G54" i="8" s="1"/>
  <c r="A56" i="8"/>
  <c r="C56" i="8"/>
  <c r="D56" i="8"/>
  <c r="E56" i="8"/>
  <c r="G56" i="8" s="1"/>
  <c r="A58" i="8"/>
  <c r="C58" i="8"/>
  <c r="D58" i="8"/>
  <c r="E58" i="8"/>
  <c r="G58" i="8" s="1"/>
  <c r="A60" i="8"/>
  <c r="C60" i="8"/>
  <c r="D60" i="8"/>
  <c r="E60" i="8"/>
  <c r="G60" i="8" s="1"/>
  <c r="A62" i="8"/>
  <c r="C62" i="8"/>
  <c r="D62" i="8"/>
  <c r="E62" i="8"/>
  <c r="G62" i="8" s="1"/>
  <c r="A71" i="8"/>
  <c r="C71" i="8"/>
  <c r="D71" i="8"/>
  <c r="E71" i="8"/>
  <c r="G71" i="8" s="1"/>
  <c r="A73" i="8"/>
  <c r="C73" i="8"/>
  <c r="D73" i="8"/>
  <c r="E73" i="8"/>
  <c r="G73" i="8" s="1"/>
  <c r="A75" i="8"/>
  <c r="C75" i="8"/>
  <c r="D75" i="8"/>
  <c r="E75" i="8"/>
  <c r="G75" i="8" s="1"/>
  <c r="A77" i="8"/>
  <c r="C77" i="8"/>
  <c r="D77" i="8"/>
  <c r="E77" i="8"/>
  <c r="G77" i="8" s="1"/>
  <c r="A79" i="8"/>
  <c r="C79" i="8"/>
  <c r="D79" i="8"/>
  <c r="E79" i="8"/>
  <c r="G79" i="8" s="1"/>
  <c r="A81" i="8"/>
  <c r="C81" i="8"/>
  <c r="D81" i="8"/>
  <c r="E81" i="8"/>
  <c r="G81" i="8" s="1"/>
  <c r="A83" i="8"/>
  <c r="C83" i="8"/>
  <c r="D83" i="8"/>
  <c r="E83" i="8"/>
  <c r="G83" i="8" s="1"/>
  <c r="A85" i="8"/>
  <c r="C85" i="8"/>
  <c r="D85" i="8"/>
  <c r="E85" i="8"/>
  <c r="G85" i="8" s="1"/>
  <c r="A91" i="8"/>
  <c r="C91" i="8"/>
  <c r="D91" i="8"/>
  <c r="E91" i="8"/>
  <c r="G91" i="8" s="1"/>
  <c r="A93" i="8"/>
  <c r="C93" i="8"/>
  <c r="D93" i="8"/>
  <c r="E93" i="8"/>
  <c r="G93" i="8" s="1"/>
  <c r="A97" i="8"/>
  <c r="C97" i="8"/>
  <c r="D97" i="8"/>
  <c r="E97" i="8"/>
  <c r="G97" i="8" s="1"/>
  <c r="A100" i="8"/>
  <c r="E100" i="8"/>
  <c r="G100" i="8" s="1"/>
  <c r="A104" i="8"/>
  <c r="C104" i="8"/>
  <c r="D104" i="8"/>
  <c r="E104" i="8"/>
  <c r="G104" i="8" s="1"/>
  <c r="A106" i="8"/>
  <c r="C106" i="8"/>
  <c r="D106" i="8"/>
  <c r="E106" i="8"/>
  <c r="G106" i="8" s="1"/>
  <c r="D49" i="8"/>
  <c r="E49" i="8"/>
  <c r="A49" i="8"/>
  <c r="I10" i="19"/>
  <c r="I3" i="19"/>
  <c r="I4" i="19"/>
  <c r="I5" i="19"/>
  <c r="I6" i="19"/>
  <c r="I7" i="19"/>
  <c r="I8" i="19"/>
  <c r="I9" i="19"/>
  <c r="I2" i="19"/>
  <c r="H10" i="19"/>
  <c r="H9" i="19"/>
  <c r="H2" i="19"/>
  <c r="F5" i="19"/>
  <c r="G5" i="19"/>
  <c r="G4" i="19"/>
  <c r="G3" i="19"/>
  <c r="G2" i="19"/>
  <c r="E9" i="19"/>
  <c r="F47" i="8"/>
  <c r="F31" i="4" s="1"/>
  <c r="F45" i="8"/>
  <c r="F30" i="4" s="1"/>
  <c r="F43" i="8"/>
  <c r="F29" i="4" s="1"/>
  <c r="F42" i="8"/>
  <c r="F41" i="8" s="1"/>
  <c r="F28" i="4" s="1"/>
  <c r="D7" i="19"/>
  <c r="A41" i="8"/>
  <c r="C41" i="8"/>
  <c r="D41" i="8"/>
  <c r="E41" i="8"/>
  <c r="G41" i="8" s="1"/>
  <c r="A43" i="8"/>
  <c r="C43" i="8"/>
  <c r="D43" i="8"/>
  <c r="E43" i="8"/>
  <c r="G43" i="8" s="1"/>
  <c r="A45" i="8"/>
  <c r="C45" i="8"/>
  <c r="D45" i="8"/>
  <c r="E45" i="8"/>
  <c r="G45" i="8" s="1"/>
  <c r="A47" i="8"/>
  <c r="C47" i="8"/>
  <c r="D47" i="8"/>
  <c r="E47" i="8"/>
  <c r="G47" i="8" s="1"/>
  <c r="D40" i="8"/>
  <c r="E40" i="8"/>
  <c r="A40" i="8"/>
  <c r="F35" i="8"/>
  <c r="F25" i="4" s="1"/>
  <c r="F37" i="8"/>
  <c r="F26" i="4" s="1"/>
  <c r="A35" i="8"/>
  <c r="B35" i="8"/>
  <c r="E35" i="8"/>
  <c r="G35" i="8" s="1"/>
  <c r="A37" i="8"/>
  <c r="E37" i="8"/>
  <c r="G37" i="8" s="1"/>
  <c r="D34" i="8"/>
  <c r="E34" i="8"/>
  <c r="A34" i="8"/>
  <c r="F107" i="8" l="1"/>
  <c r="F106" i="8" s="1"/>
  <c r="F56" i="4" s="1"/>
  <c r="I14" i="20"/>
  <c r="G53" i="4" s="1"/>
  <c r="C35" i="19"/>
  <c r="C4" i="19"/>
  <c r="C3" i="19"/>
  <c r="B8" i="19"/>
  <c r="A8" i="19"/>
  <c r="F29" i="8"/>
  <c r="F28" i="8" s="1"/>
  <c r="F23" i="4" s="1"/>
  <c r="C28" i="8"/>
  <c r="D28" i="8"/>
  <c r="E28" i="8"/>
  <c r="G28" i="8" s="1"/>
  <c r="A28" i="8"/>
  <c r="G26" i="4"/>
  <c r="D26" i="4"/>
  <c r="D37" i="8" s="1"/>
  <c r="C26" i="4"/>
  <c r="C37" i="8" s="1"/>
  <c r="G25" i="4"/>
  <c r="D25" i="4"/>
  <c r="D35" i="8" s="1"/>
  <c r="C25" i="4"/>
  <c r="C35" i="8" s="1"/>
  <c r="C11" i="20"/>
  <c r="I8" i="20"/>
  <c r="H13" i="20"/>
  <c r="I13" i="20" s="1"/>
  <c r="H12" i="20"/>
  <c r="I12" i="20" s="1"/>
  <c r="H11" i="20"/>
  <c r="I11" i="20" s="1"/>
  <c r="H10" i="20"/>
  <c r="I10" i="20" s="1"/>
  <c r="H9" i="20"/>
  <c r="I9" i="20" s="1"/>
  <c r="I4" i="20"/>
  <c r="I6" i="20"/>
  <c r="I7" i="20"/>
  <c r="I3" i="20"/>
  <c r="H7" i="20"/>
  <c r="H6" i="20"/>
  <c r="H5" i="20"/>
  <c r="I5" i="20" s="1"/>
  <c r="I2" i="20" s="1"/>
  <c r="H4" i="20"/>
  <c r="H3" i="20"/>
  <c r="C7" i="20"/>
  <c r="C6" i="20"/>
  <c r="C5" i="20"/>
  <c r="C4" i="20"/>
  <c r="B26" i="4" l="1"/>
  <c r="B37" i="8" s="1"/>
  <c r="F26" i="8"/>
  <c r="F22" i="4" s="1"/>
  <c r="D24" i="8"/>
  <c r="F18" i="8"/>
  <c r="F22" i="8" s="1"/>
  <c r="F24" i="8" s="1"/>
  <c r="F23" i="8" s="1"/>
  <c r="F21" i="4" s="1"/>
  <c r="F16" i="8"/>
  <c r="F18" i="4" s="1"/>
  <c r="A16" i="8"/>
  <c r="C16" i="8"/>
  <c r="D16" i="8"/>
  <c r="E16" i="8"/>
  <c r="G16" i="8" s="1"/>
  <c r="A18" i="8"/>
  <c r="B18" i="8"/>
  <c r="C18" i="8"/>
  <c r="D18" i="8"/>
  <c r="E18" i="8"/>
  <c r="G18" i="8" s="1"/>
  <c r="A21" i="8"/>
  <c r="C21" i="8"/>
  <c r="D21" i="8"/>
  <c r="E21" i="8"/>
  <c r="G21" i="8" s="1"/>
  <c r="A23" i="8"/>
  <c r="C23" i="8"/>
  <c r="D23" i="8"/>
  <c r="E23" i="8"/>
  <c r="G23" i="8" s="1"/>
  <c r="A26" i="8"/>
  <c r="C26" i="8"/>
  <c r="D26" i="8"/>
  <c r="E26" i="8"/>
  <c r="G26" i="8" s="1"/>
  <c r="D15" i="8"/>
  <c r="E15" i="8"/>
  <c r="A15" i="8"/>
  <c r="F12" i="8"/>
  <c r="F16" i="4" s="1"/>
  <c r="E12" i="8"/>
  <c r="G12" i="8" s="1"/>
  <c r="B12" i="8"/>
  <c r="C12" i="8"/>
  <c r="D12" i="8"/>
  <c r="A12" i="8"/>
  <c r="D11" i="8"/>
  <c r="A11" i="8"/>
  <c r="D10" i="8"/>
  <c r="A10" i="8"/>
  <c r="F19" i="4" l="1"/>
  <c r="F21" i="8"/>
  <c r="F20" i="4" s="1"/>
  <c r="B20" i="4" l="1"/>
  <c r="B21" i="8" s="1"/>
  <c r="B22" i="4"/>
  <c r="B18" i="4"/>
  <c r="B16" i="8" s="1"/>
  <c r="A8" i="8"/>
  <c r="B26" i="8" l="1"/>
  <c r="B23" i="4"/>
  <c r="B21" i="4"/>
  <c r="B28" i="4" l="1"/>
  <c r="B28" i="8"/>
  <c r="B23" i="8"/>
  <c r="B31" i="4"/>
  <c r="J3" i="15"/>
  <c r="B45" i="4" l="1"/>
  <c r="B47" i="8"/>
  <c r="B41" i="8"/>
  <c r="B29" i="4"/>
  <c r="A7" i="16"/>
  <c r="L41" i="16"/>
  <c r="B30" i="4" l="1"/>
  <c r="B43" i="8"/>
  <c r="B81" i="8"/>
  <c r="B46" i="4"/>
  <c r="F4" i="15"/>
  <c r="F5" i="15"/>
  <c r="F3" i="15"/>
  <c r="E6" i="15"/>
  <c r="F6" i="15" s="1"/>
  <c r="F2" i="15" s="1"/>
  <c r="J6" i="15"/>
  <c r="D6" i="15"/>
  <c r="I3" i="15"/>
  <c r="B33" i="4" l="1"/>
  <c r="B45" i="8"/>
  <c r="B64" i="4"/>
  <c r="B83" i="8"/>
  <c r="I4" i="15"/>
  <c r="J4" i="15"/>
  <c r="J2" i="15"/>
  <c r="I2" i="15"/>
  <c r="B134" i="8" l="1"/>
  <c r="B65" i="4"/>
  <c r="B34" i="4"/>
  <c r="B50" i="8"/>
  <c r="B4" i="12"/>
  <c r="B35" i="4" l="1"/>
  <c r="B52" i="8"/>
  <c r="B139" i="8"/>
  <c r="B68" i="4"/>
  <c r="E8" i="12"/>
  <c r="E6" i="12"/>
  <c r="E5" i="12"/>
  <c r="E7" i="12"/>
  <c r="B152" i="8" l="1"/>
  <c r="B75" i="4"/>
  <c r="B36" i="4"/>
  <c r="B54" i="8"/>
  <c r="G110" i="4"/>
  <c r="A8" i="4"/>
  <c r="A7" i="8"/>
  <c r="B80" i="4" l="1"/>
  <c r="B181" i="8"/>
  <c r="B37" i="4"/>
  <c r="B56" i="8"/>
  <c r="B38" i="4" l="1"/>
  <c r="B58" i="8"/>
  <c r="B85" i="4"/>
  <c r="B204" i="8"/>
  <c r="B27" i="12"/>
  <c r="B94" i="4" l="1"/>
  <c r="B230" i="8"/>
  <c r="B39" i="4"/>
  <c r="B60" i="8"/>
  <c r="E35" i="12"/>
  <c r="G35" i="12" s="1"/>
  <c r="E34" i="12"/>
  <c r="G34" i="12" s="1"/>
  <c r="E33" i="12"/>
  <c r="G33" i="12" s="1"/>
  <c r="E32" i="12"/>
  <c r="G32" i="12" s="1"/>
  <c r="G36" i="12"/>
  <c r="G31" i="12"/>
  <c r="B40" i="4" l="1"/>
  <c r="B62" i="8"/>
  <c r="B95" i="4"/>
  <c r="B295" i="8"/>
  <c r="D40" i="12"/>
  <c r="G40" i="12" s="1"/>
  <c r="G45" i="12" s="1"/>
  <c r="G28" i="12"/>
  <c r="D39" i="12" s="1"/>
  <c r="G39" i="12" s="1"/>
  <c r="G42" i="12" s="1"/>
  <c r="G30" i="12"/>
  <c r="G29" i="12"/>
  <c r="G5" i="12"/>
  <c r="G13" i="12"/>
  <c r="G12" i="12"/>
  <c r="G11" i="12"/>
  <c r="G10" i="12"/>
  <c r="G9" i="12"/>
  <c r="G8" i="12"/>
  <c r="D17" i="12" s="1"/>
  <c r="G17" i="12" s="1"/>
  <c r="G22" i="12" s="1"/>
  <c r="G7" i="12"/>
  <c r="G6" i="12"/>
  <c r="B41" i="4" l="1"/>
  <c r="B71" i="8"/>
  <c r="B297" i="8"/>
  <c r="B96" i="4"/>
  <c r="D16" i="12"/>
  <c r="G16" i="12" s="1"/>
  <c r="G19" i="12" s="1"/>
  <c r="B97" i="4" l="1"/>
  <c r="B299" i="8"/>
  <c r="B42" i="4"/>
  <c r="B73" i="8"/>
  <c r="F16" i="10"/>
  <c r="F21" i="10" s="1"/>
  <c r="B11" i="4" s="1"/>
  <c r="H48" i="4" l="1"/>
  <c r="I48" i="4" s="1"/>
  <c r="H51" i="4"/>
  <c r="I51" i="4" s="1"/>
  <c r="H104" i="4"/>
  <c r="I104" i="4" s="1"/>
  <c r="H96" i="4"/>
  <c r="I96" i="4" s="1"/>
  <c r="H89" i="4"/>
  <c r="I89" i="4" s="1"/>
  <c r="H93" i="4"/>
  <c r="I93" i="4" s="1"/>
  <c r="H94" i="4"/>
  <c r="I94" i="4" s="1"/>
  <c r="H81" i="4"/>
  <c r="I81" i="4" s="1"/>
  <c r="H79" i="4"/>
  <c r="I79" i="4" s="1"/>
  <c r="H67" i="4"/>
  <c r="I67" i="4" s="1"/>
  <c r="H70" i="4"/>
  <c r="I70" i="4" s="1"/>
  <c r="H68" i="4"/>
  <c r="I68" i="4" s="1"/>
  <c r="H62" i="4"/>
  <c r="I62" i="4" s="1"/>
  <c r="H58" i="4"/>
  <c r="I58" i="4" s="1"/>
  <c r="H49" i="4"/>
  <c r="I49" i="4" s="1"/>
  <c r="H36" i="4"/>
  <c r="I36" i="4" s="1"/>
  <c r="H38" i="4"/>
  <c r="I38" i="4" s="1"/>
  <c r="H56" i="4"/>
  <c r="I56" i="4" s="1"/>
  <c r="H42" i="4"/>
  <c r="I42" i="4" s="1"/>
  <c r="H47" i="4"/>
  <c r="I47" i="4" s="1"/>
  <c r="H25" i="4"/>
  <c r="I25" i="4" s="1"/>
  <c r="H21" i="4"/>
  <c r="I21" i="4" s="1"/>
  <c r="H101" i="4"/>
  <c r="I101" i="4" s="1"/>
  <c r="H98" i="4"/>
  <c r="I98" i="4" s="1"/>
  <c r="H95" i="4"/>
  <c r="I95" i="4" s="1"/>
  <c r="H88" i="4"/>
  <c r="I88" i="4" s="1"/>
  <c r="H86" i="4"/>
  <c r="I86" i="4" s="1"/>
  <c r="H83" i="4"/>
  <c r="I83" i="4" s="1"/>
  <c r="H82" i="4"/>
  <c r="I82" i="4" s="1"/>
  <c r="H66" i="4"/>
  <c r="I66" i="4" s="1"/>
  <c r="H76" i="4"/>
  <c r="I76" i="4" s="1"/>
  <c r="H69" i="4"/>
  <c r="I69" i="4" s="1"/>
  <c r="H59" i="4"/>
  <c r="I59" i="4" s="1"/>
  <c r="H37" i="4"/>
  <c r="I37" i="4" s="1"/>
  <c r="H55" i="4"/>
  <c r="I55" i="4" s="1"/>
  <c r="H43" i="4"/>
  <c r="I43" i="4" s="1"/>
  <c r="H41" i="4"/>
  <c r="I41" i="4" s="1"/>
  <c r="H30" i="4"/>
  <c r="I30" i="4" s="1"/>
  <c r="H46" i="4"/>
  <c r="I46" i="4" s="1"/>
  <c r="H31" i="4"/>
  <c r="I31" i="4" s="1"/>
  <c r="H26" i="4"/>
  <c r="I26" i="4" s="1"/>
  <c r="H19" i="4"/>
  <c r="I19" i="4" s="1"/>
  <c r="H100" i="4"/>
  <c r="I100" i="4" s="1"/>
  <c r="H97" i="4"/>
  <c r="I97" i="4" s="1"/>
  <c r="H87" i="4"/>
  <c r="I87" i="4" s="1"/>
  <c r="H90" i="4"/>
  <c r="I90" i="4" s="1"/>
  <c r="H85" i="4"/>
  <c r="I85" i="4" s="1"/>
  <c r="H80" i="4"/>
  <c r="I80" i="4" s="1"/>
  <c r="H71" i="4"/>
  <c r="I71" i="4" s="1"/>
  <c r="H23" i="4"/>
  <c r="I23" i="4" s="1"/>
  <c r="H73" i="4"/>
  <c r="I73" i="4" s="1"/>
  <c r="H75" i="4"/>
  <c r="I75" i="4" s="1"/>
  <c r="H60" i="4"/>
  <c r="I60" i="4" s="1"/>
  <c r="H40" i="4"/>
  <c r="I40" i="4" s="1"/>
  <c r="H29" i="4"/>
  <c r="I29" i="4" s="1"/>
  <c r="H54" i="4"/>
  <c r="I54" i="4" s="1"/>
  <c r="H45" i="4"/>
  <c r="I45" i="4" s="1"/>
  <c r="H35" i="4"/>
  <c r="I35" i="4" s="1"/>
  <c r="H52" i="4"/>
  <c r="I52" i="4" s="1"/>
  <c r="H53" i="4"/>
  <c r="I53" i="4" s="1"/>
  <c r="H20" i="4"/>
  <c r="I20" i="4" s="1"/>
  <c r="H16" i="4"/>
  <c r="I16" i="4" s="1"/>
  <c r="I15" i="4" s="1"/>
  <c r="H102" i="4"/>
  <c r="I102" i="4" s="1"/>
  <c r="H103" i="4"/>
  <c r="I103" i="4" s="1"/>
  <c r="H99" i="4"/>
  <c r="I99" i="4" s="1"/>
  <c r="H91" i="4"/>
  <c r="I91" i="4" s="1"/>
  <c r="H92" i="4"/>
  <c r="I92" i="4" s="1"/>
  <c r="H74" i="4"/>
  <c r="I74" i="4" s="1"/>
  <c r="H84" i="4"/>
  <c r="I84" i="4" s="1"/>
  <c r="H72" i="4"/>
  <c r="I72" i="4" s="1"/>
  <c r="H65" i="4"/>
  <c r="I65" i="4" s="1"/>
  <c r="H77" i="4"/>
  <c r="I77" i="4" s="1"/>
  <c r="H64" i="4"/>
  <c r="I64" i="4" s="1"/>
  <c r="H61" i="4"/>
  <c r="I61" i="4" s="1"/>
  <c r="H44" i="4"/>
  <c r="I44" i="4" s="1"/>
  <c r="H28" i="4"/>
  <c r="I28" i="4" s="1"/>
  <c r="I27" i="4" s="1"/>
  <c r="C20" i="16" s="1"/>
  <c r="J20" i="16" s="1"/>
  <c r="J21" i="16" s="1"/>
  <c r="J22" i="16" s="1"/>
  <c r="H34" i="4"/>
  <c r="I34" i="4" s="1"/>
  <c r="H50" i="4"/>
  <c r="I50" i="4" s="1"/>
  <c r="H39" i="4"/>
  <c r="I39" i="4" s="1"/>
  <c r="H33" i="4"/>
  <c r="I33" i="4" s="1"/>
  <c r="I32" i="4" s="1"/>
  <c r="C23" i="16" s="1"/>
  <c r="F23" i="16" s="1"/>
  <c r="H22" i="4"/>
  <c r="I22" i="4" s="1"/>
  <c r="H18" i="4"/>
  <c r="I18" i="4" s="1"/>
  <c r="B43" i="4"/>
  <c r="B75" i="8"/>
  <c r="B98" i="4"/>
  <c r="B304" i="8"/>
  <c r="B12" i="4"/>
  <c r="D12" i="4" s="1"/>
  <c r="I17" i="4" l="1"/>
  <c r="C14" i="16" s="1"/>
  <c r="E14" i="16" s="1"/>
  <c r="E15" i="16" s="1"/>
  <c r="E16" i="16" s="1"/>
  <c r="C11" i="16"/>
  <c r="I57" i="4"/>
  <c r="C26" i="16" s="1"/>
  <c r="J26" i="16" s="1"/>
  <c r="F35" i="16"/>
  <c r="F24" i="16"/>
  <c r="F25" i="16" s="1"/>
  <c r="I63" i="4"/>
  <c r="C29" i="16" s="1"/>
  <c r="G29" i="16" s="1"/>
  <c r="I24" i="4"/>
  <c r="C17" i="16" s="1"/>
  <c r="H17" i="16" s="1"/>
  <c r="I78" i="4"/>
  <c r="B307" i="8"/>
  <c r="B99" i="4"/>
  <c r="B311" i="8" s="1"/>
  <c r="B44" i="4"/>
  <c r="B77" i="8"/>
  <c r="C32" i="16" l="1"/>
  <c r="E32" i="16" s="1"/>
  <c r="I106" i="4"/>
  <c r="F36" i="16"/>
  <c r="I17" i="16"/>
  <c r="H18" i="16"/>
  <c r="H19" i="16" s="1"/>
  <c r="H35" i="16"/>
  <c r="J27" i="16"/>
  <c r="J28" i="16" s="1"/>
  <c r="J35" i="16"/>
  <c r="G35" i="16"/>
  <c r="G30" i="16"/>
  <c r="G31" i="16" s="1"/>
  <c r="I14" i="4"/>
  <c r="E11" i="16"/>
  <c r="E12" i="16" s="1"/>
  <c r="E13" i="16" s="1"/>
  <c r="C35" i="16"/>
  <c r="B79" i="8"/>
  <c r="B47" i="4"/>
  <c r="B48" i="4" s="1"/>
  <c r="B87" i="8" s="1"/>
  <c r="H36" i="16" l="1"/>
  <c r="G36" i="16"/>
  <c r="E33" i="16"/>
  <c r="E34" i="16" s="1"/>
  <c r="E35" i="16"/>
  <c r="J36" i="16"/>
  <c r="I35" i="16"/>
  <c r="I36" i="16" s="1"/>
  <c r="I18" i="16"/>
  <c r="I19" i="16" s="1"/>
  <c r="B85" i="8"/>
  <c r="B49" i="4"/>
  <c r="B91" i="8" l="1"/>
  <c r="B50" i="4"/>
  <c r="B52" i="4" l="1"/>
  <c r="B93" i="8"/>
  <c r="E36" i="16"/>
  <c r="E37" i="16"/>
  <c r="B97" i="8" l="1"/>
  <c r="B54" i="4"/>
  <c r="E38" i="16"/>
  <c r="F37" i="16"/>
  <c r="B55" i="4" l="1"/>
  <c r="B102" i="8"/>
  <c r="G37" i="16"/>
  <c r="F38" i="16"/>
  <c r="B104" i="8" l="1"/>
  <c r="B56" i="4"/>
  <c r="H37" i="16"/>
  <c r="G38" i="16"/>
  <c r="H38" i="16" l="1"/>
  <c r="I37" i="16"/>
  <c r="B58" i="4"/>
  <c r="B106" i="8"/>
  <c r="I38" i="16" l="1"/>
  <c r="J37" i="16"/>
  <c r="J38" i="16" s="1"/>
  <c r="B110" i="8"/>
  <c r="B59" i="4"/>
  <c r="B60" i="4" l="1"/>
  <c r="B112" i="8"/>
  <c r="B61" i="4" l="1"/>
  <c r="B115" i="8"/>
  <c r="B62" i="4" l="1"/>
  <c r="B117" i="8"/>
  <c r="B120" i="8" l="1"/>
  <c r="B66" i="4"/>
  <c r="B144" i="8" l="1"/>
  <c r="B67" i="4"/>
  <c r="B148" i="8" l="1"/>
  <c r="B69" i="4"/>
  <c r="B157" i="8" l="1"/>
  <c r="B70" i="4"/>
  <c r="B71" i="4" l="1"/>
  <c r="B161" i="8"/>
  <c r="B73" i="4"/>
  <c r="B74" i="4" l="1"/>
  <c r="B176" i="8" s="1"/>
  <c r="B172" i="8"/>
  <c r="B76" i="4"/>
  <c r="B72" i="4"/>
  <c r="B168" i="8" s="1"/>
  <c r="B166" i="8"/>
  <c r="B186" i="8" l="1"/>
  <c r="B77" i="4"/>
  <c r="B193" i="8" l="1"/>
  <c r="B79" i="4"/>
  <c r="B196" i="8" l="1"/>
  <c r="B81" i="4"/>
  <c r="B208" i="8" l="1"/>
  <c r="B82" i="4"/>
  <c r="B215" i="8" l="1"/>
  <c r="B83" i="4"/>
  <c r="B84" i="4" l="1"/>
  <c r="B219" i="8"/>
  <c r="B86" i="4" l="1"/>
  <c r="B226" i="8"/>
  <c r="B243" i="8" l="1"/>
  <c r="B87" i="4"/>
  <c r="B262" i="8" l="1"/>
  <c r="B88" i="4"/>
  <c r="B89" i="4" l="1"/>
  <c r="B274" i="8" s="1"/>
  <c r="B272" i="8"/>
  <c r="B90" i="4"/>
  <c r="B279" i="8" l="1"/>
  <c r="B91" i="4"/>
  <c r="B282" i="8" l="1"/>
  <c r="B92" i="4"/>
  <c r="B284" i="8" l="1"/>
  <c r="B93" i="4"/>
  <c r="B100" i="4" l="1"/>
  <c r="B287" i="8"/>
  <c r="B103" i="4" l="1"/>
  <c r="B314" i="8"/>
  <c r="B325" i="8" l="1"/>
  <c r="B104" i="4"/>
  <c r="B327" i="8" s="1"/>
</calcChain>
</file>

<file path=xl/sharedStrings.xml><?xml version="1.0" encoding="utf-8"?>
<sst xmlns="http://schemas.openxmlformats.org/spreadsheetml/2006/main" count="1164" uniqueCount="601">
  <si>
    <t>ITEM</t>
  </si>
  <si>
    <t>FONTE</t>
  </si>
  <si>
    <t>CÓDIGO</t>
  </si>
  <si>
    <t/>
  </si>
  <si>
    <t>BDI</t>
  </si>
  <si>
    <t>Especificações dos serviços</t>
  </si>
  <si>
    <t>Custo Unitário</t>
  </si>
  <si>
    <t>PREFEITURA MUNICIPAL DE BARRA DO TURVO</t>
  </si>
  <si>
    <t>AV. 21 DE MARÇO, 304, CENTRO, BARRA DO TURVO / SP - CEP: 11955-000</t>
  </si>
  <si>
    <t>TEL.: (15) 3578-9444</t>
  </si>
  <si>
    <t>SECRETARIA MUNICIPAL DE OBRAS E SERVIÇOS</t>
  </si>
  <si>
    <t>e-mail: obras@barradoturvo.sp.ov.br</t>
  </si>
  <si>
    <t>MEMÓRIA DE CÁLCULO</t>
  </si>
  <si>
    <t>SERVIÇO</t>
  </si>
  <si>
    <t>UNIDADE</t>
  </si>
  <si>
    <t>1.1</t>
  </si>
  <si>
    <t>1.2</t>
  </si>
  <si>
    <t>unid</t>
  </si>
  <si>
    <t>QUANT.</t>
  </si>
  <si>
    <t>COMPOSIÇÃO DO BDI</t>
  </si>
  <si>
    <t>ITENS</t>
  </si>
  <si>
    <t>DESCRIÇÃO</t>
  </si>
  <si>
    <t>%</t>
  </si>
  <si>
    <t>AC</t>
  </si>
  <si>
    <t>Administraçao Central</t>
  </si>
  <si>
    <t>S</t>
  </si>
  <si>
    <t>Seguros</t>
  </si>
  <si>
    <t xml:space="preserve">R </t>
  </si>
  <si>
    <t>Riscos</t>
  </si>
  <si>
    <t>G</t>
  </si>
  <si>
    <t>Garantias</t>
  </si>
  <si>
    <t>DF</t>
  </si>
  <si>
    <t>Despesas Financeiras</t>
  </si>
  <si>
    <t>L</t>
  </si>
  <si>
    <t>Lucro/Remuneração</t>
  </si>
  <si>
    <t>l</t>
  </si>
  <si>
    <t>Impostos/tributos</t>
  </si>
  <si>
    <t>PIS</t>
  </si>
  <si>
    <t>COFINS</t>
  </si>
  <si>
    <t>ISS</t>
  </si>
  <si>
    <t>Contribuição Previdenciaria</t>
  </si>
  <si>
    <t>Taxa do BDI  (%)</t>
  </si>
  <si>
    <t xml:space="preserve">Declaro para os devidos fins que o regime de Contribuição Previdenciária sobre a Receita Bruta adotado para elaboração do orçamento foi SEM Desoneração, e que esta é a alternativa mais adequada para a Administração Pública. </t>
  </si>
  <si>
    <t>Fórmula para o cálculo do BDI</t>
  </si>
  <si>
    <t>BDI =</t>
  </si>
  <si>
    <t>(1 + AC + S + R + G) x (1 + DF) x (1 + L)</t>
  </si>
  <si>
    <t>(1 - I)</t>
  </si>
  <si>
    <t>RESPONSÁVEL TÉCNICO</t>
  </si>
  <si>
    <t>CREA-SP: 5070397010</t>
  </si>
  <si>
    <t>M2</t>
  </si>
  <si>
    <t>m</t>
  </si>
  <si>
    <t>M3</t>
  </si>
  <si>
    <t>m2</t>
  </si>
  <si>
    <t>AÇO</t>
  </si>
  <si>
    <t>POS.</t>
  </si>
  <si>
    <t>BITOLA (mm)</t>
  </si>
  <si>
    <t>COMPRIMENTO</t>
  </si>
  <si>
    <t>UNIT. (cm)</t>
  </si>
  <si>
    <t>TOTAL (cm)</t>
  </si>
  <si>
    <t>CA-50</t>
  </si>
  <si>
    <t>N1</t>
  </si>
  <si>
    <t>N2</t>
  </si>
  <si>
    <t>CA-60</t>
  </si>
  <si>
    <t>N3</t>
  </si>
  <si>
    <t>COMPRIMENTO (m)</t>
  </si>
  <si>
    <t>MASSA (kg)</t>
  </si>
  <si>
    <t>MASSA CA-50 (kg)</t>
  </si>
  <si>
    <t>MASSA CA-50 + 10% (kg)</t>
  </si>
  <si>
    <t>MASSA CA-60 (kg)</t>
  </si>
  <si>
    <t>MASSA CA-60 + 10% (kg)</t>
  </si>
  <si>
    <t>N4</t>
  </si>
  <si>
    <t>N5</t>
  </si>
  <si>
    <t>N6</t>
  </si>
  <si>
    <t>N7</t>
  </si>
  <si>
    <t>N8</t>
  </si>
  <si>
    <t>N9</t>
  </si>
  <si>
    <t>COBERTURA ODORICO PILARES</t>
  </si>
  <si>
    <t>COBERTURA ODORICO SAPATAS</t>
  </si>
  <si>
    <t>PLANILHA ORÇAMENTÁRIA</t>
  </si>
  <si>
    <t>BDI:</t>
  </si>
  <si>
    <t xml:space="preserve">Barra do Turvo/SP, </t>
  </si>
  <si>
    <t>DANIEL FRANCISCO</t>
  </si>
  <si>
    <t>OBS.</t>
  </si>
  <si>
    <t>H</t>
  </si>
  <si>
    <t>1.1.1</t>
  </si>
  <si>
    <t>SAPATA 60x80</t>
  </si>
  <si>
    <t>x</t>
  </si>
  <si>
    <t>PILAR 20x60/30</t>
  </si>
  <si>
    <t>MASSA LINEAR (kg/m)</t>
  </si>
  <si>
    <t>altura</t>
  </si>
  <si>
    <t>m3</t>
  </si>
  <si>
    <t>UN</t>
  </si>
  <si>
    <t>1.2.1</t>
  </si>
  <si>
    <t>1.2.2</t>
  </si>
  <si>
    <t>1.2.3</t>
  </si>
  <si>
    <t>1.2.4</t>
  </si>
  <si>
    <t>1.2.5</t>
  </si>
  <si>
    <t>1.3</t>
  </si>
  <si>
    <t>1.3.1</t>
  </si>
  <si>
    <t>1.3.2</t>
  </si>
  <si>
    <t>1.4</t>
  </si>
  <si>
    <t>Preço Unitário</t>
  </si>
  <si>
    <t>Preço Total</t>
  </si>
  <si>
    <t>1.2.6</t>
  </si>
  <si>
    <t>M3XKM</t>
  </si>
  <si>
    <t>distância de transporte</t>
  </si>
  <si>
    <t>km</t>
  </si>
  <si>
    <t>Unid.</t>
  </si>
  <si>
    <t>Quant.</t>
  </si>
  <si>
    <t>B.01.000.010140</t>
  </si>
  <si>
    <t>Pintor</t>
  </si>
  <si>
    <t>B.01.000.010141</t>
  </si>
  <si>
    <t>Ajudante de pintor</t>
  </si>
  <si>
    <t>J.01.000.038014</t>
  </si>
  <si>
    <t>Lixa massa/madeira uso geral Norton, Alcar ou equivalente (médias)</t>
  </si>
  <si>
    <t>J.02.000.038050</t>
  </si>
  <si>
    <t>l/m2</t>
  </si>
  <si>
    <t>tintas mazza</t>
  </si>
  <si>
    <t>R$/l</t>
  </si>
  <si>
    <t>brasilux</t>
  </si>
  <si>
    <t>cod</t>
  </si>
  <si>
    <t>item</t>
  </si>
  <si>
    <t>quant</t>
  </si>
  <si>
    <t>custo unit</t>
  </si>
  <si>
    <t>custo total</t>
  </si>
  <si>
    <t>verniz antichama</t>
  </si>
  <si>
    <t>Verniz antichama em superfície de madeira</t>
  </si>
  <si>
    <t>cotação</t>
  </si>
  <si>
    <t>CRONOGRAMA FÍSICO-FINANCEIRO</t>
  </si>
  <si>
    <t>Regime e forma de execução: empreitada por PREÇO GLOBAL e por forma de execução INDIRETA</t>
  </si>
  <si>
    <t>PREÇO TOTAL</t>
  </si>
  <si>
    <t>MESES</t>
  </si>
  <si>
    <t>VALOR</t>
  </si>
  <si>
    <t>% ACUM.</t>
  </si>
  <si>
    <t>TOTAL</t>
  </si>
  <si>
    <t>TOTAL ACUMULADO</t>
  </si>
  <si>
    <t>% ACUMULADO</t>
  </si>
  <si>
    <t>ckc</t>
  </si>
  <si>
    <t>UNID.</t>
  </si>
  <si>
    <t>LOCAL: SALÃO MULTIUSO, AVENIDA 21 DE MARÇO, 290, BARRA DO TURVO / SP</t>
  </si>
  <si>
    <t>CALÇAMENTO E PAISAGISMO - SALÃO MULTIUSO</t>
  </si>
  <si>
    <t>Item</t>
  </si>
  <si>
    <t>Fonte</t>
  </si>
  <si>
    <t>Código</t>
  </si>
  <si>
    <t>SERVIÇOS PRELIMINARES</t>
  </si>
  <si>
    <t>02.08.050</t>
  </si>
  <si>
    <t>Placa em lona com impressão digital e estrutura em madeira</t>
  </si>
  <si>
    <t>PLACA DE OBRA</t>
  </si>
  <si>
    <t>02.09.040</t>
  </si>
  <si>
    <t>Limpeza mecanizada do terreno, inclusive troncos até 15 cm de diâmetro, com caminhão à disposição dentro e fora da obra, com transporte no raio de até 1 km</t>
  </si>
  <si>
    <t>CDHU-189</t>
  </si>
  <si>
    <t>34.13.011</t>
  </si>
  <si>
    <t>Corte, recorte e remoção de árvore  inclusive as raízes - diâmetro (DAP)&gt;5cm&lt;15cm</t>
  </si>
  <si>
    <t>ESCAVAÇÃO HORIZONTAL EM SOLO DE 1A CATEGORIA COM TRATOR DE ESTEIRAS (100HP/LÂMINA: 2,19M3). AF_07/2020</t>
  </si>
  <si>
    <t>REFERÊNCIA: SINAPI - 02/2023 - SEM DESONERAÇÃO /// CDHU-189 - SEM DESONERAÇÃO</t>
  </si>
  <si>
    <t>CARGA, MANOBRA E DESCARGA DE SOLOS E MATERIAIS GRANULARES EM CAMINHÃO BASCULANTE 18 M³ - CARGA COM ESCAVADEIRA HIDRÁULICA (CAÇAMBA DE 1,20 M³ / 155 HP) E DESCARGA LIVRE (UNIDADE: M3). AF_07/2020</t>
  </si>
  <si>
    <t>SINAPI - 02/2023</t>
  </si>
  <si>
    <t>TRANSPORTE COM CAMINHÃO BASCULANTE DE 18 M³, EM VIA URBANA PAVIMENTADA, DMT ATÉ 30 KM (UNIDADE: M3XKM). AF_07/2020</t>
  </si>
  <si>
    <t>comprimento placa</t>
  </si>
  <si>
    <t>altura placa</t>
  </si>
  <si>
    <t xml:space="preserve">m </t>
  </si>
  <si>
    <t>área de limpeza de camada vegetal</t>
  </si>
  <si>
    <t>área de retirada de material fresado</t>
  </si>
  <si>
    <t>espessura estimada</t>
  </si>
  <si>
    <t>volume de material escavado</t>
  </si>
  <si>
    <t>quantidade de árvores a serem retiradas</t>
  </si>
  <si>
    <t>PASSEIO</t>
  </si>
  <si>
    <t>COMPOSIÇÃO</t>
  </si>
  <si>
    <t>B.01.000.010101</t>
  </si>
  <si>
    <t>Ajudante geral</t>
  </si>
  <si>
    <t>B.01.000.010139</t>
  </si>
  <si>
    <t>Pedreiro</t>
  </si>
  <si>
    <t>C.07.000.035580</t>
  </si>
  <si>
    <t>Piso de concreto intertravado, cor natural, tipos: raquete, retangular, sextavado e 16 faces, espessura 6 cm, 35 MPa</t>
  </si>
  <si>
    <t>S.01.000.080334</t>
  </si>
  <si>
    <t>Placa vibratória impacto de 1.700 kg, com motor diesel, ou gasolina, ou elétrico, ref. Placa Vibratoria Dynapac CM13 da Flygt do Brasil ou equivalente</t>
  </si>
  <si>
    <t>PMBT.23.001</t>
  </si>
  <si>
    <t>1.5</t>
  </si>
  <si>
    <t>CUSTO UNITÁRIO</t>
  </si>
  <si>
    <t>CUSTO TOTAL</t>
  </si>
  <si>
    <t>LEIS SOCIAIS: 128,23%</t>
  </si>
  <si>
    <t>C.07.000.035583</t>
  </si>
  <si>
    <t>Piso de concreto intertravado, colorido, tipos: raquete, retangular, sextavado e 16 faces, espessura 6 cm, 35 MPa</t>
  </si>
  <si>
    <t>2.1</t>
  </si>
  <si>
    <t>2.2</t>
  </si>
  <si>
    <t>2.3</t>
  </si>
  <si>
    <t>2.4</t>
  </si>
  <si>
    <t>2.5</t>
  </si>
  <si>
    <t>B.05.000.020524</t>
  </si>
  <si>
    <t>Pó de pedra</t>
  </si>
  <si>
    <t>Pavimentação em lajota retangular de concreto 35 MPa, espessura 6 cm, cor natural, com lastro e rejunte em pó de pedra</t>
  </si>
  <si>
    <t>Pavimentação em lajota retangular de concreto 35 MPa, espessura 6 cm, colorido, com lastro e rejunte em pó de pedra</t>
  </si>
  <si>
    <t>PMBT.23.002</t>
  </si>
  <si>
    <t>03.01.220</t>
  </si>
  <si>
    <t>Demolição mecanizada de concreto simples, inclusive fragmentação, carregamento, transporte até 1 quilômetro e descarregamento</t>
  </si>
  <si>
    <t>base maior</t>
  </si>
  <si>
    <t>base menor</t>
  </si>
  <si>
    <t>área de calçada de concreto a demolir</t>
  </si>
  <si>
    <t>espessura estimada de concreto</t>
  </si>
  <si>
    <t>natural</t>
  </si>
  <si>
    <t xml:space="preserve">amarelo </t>
  </si>
  <si>
    <t>vermelho</t>
  </si>
  <si>
    <t>área paver cor natural</t>
  </si>
  <si>
    <t>área paver amarelo</t>
  </si>
  <si>
    <t>área paver vermelho</t>
  </si>
  <si>
    <t>VEGETAÇÃO</t>
  </si>
  <si>
    <t>34.02.100</t>
  </si>
  <si>
    <t>Plantio de grama esmeralda em placas (jardins e canteiros)</t>
  </si>
  <si>
    <t>34.03.020</t>
  </si>
  <si>
    <t>Arbusto Azaléa - h= 0,60 a 0,80 m</t>
  </si>
  <si>
    <t>34.04.130</t>
  </si>
  <si>
    <t>Árvore ornamental tipo Ipê Amarelo - h= 2,00 m</t>
  </si>
  <si>
    <t>PLANTIO DE ÁRVORE ORNAMENTAL COM ALTURA DE MUDA MAIOR QUE 2,00 M E MENOR OU IGUAL A 4,00 M. AF_05/2018</t>
  </si>
  <si>
    <t>1.4.1</t>
  </si>
  <si>
    <t>1.4.2</t>
  </si>
  <si>
    <t>1.4.3</t>
  </si>
  <si>
    <t>1.4.4</t>
  </si>
  <si>
    <t>área de plantio de grama</t>
  </si>
  <si>
    <t>nº de mudas de azaleia</t>
  </si>
  <si>
    <t>nº de ipes amarelos</t>
  </si>
  <si>
    <t>nº de ipes roxo</t>
  </si>
  <si>
    <t>grama</t>
  </si>
  <si>
    <t>INSTALAÇÕES ELÉTRICAS</t>
  </si>
  <si>
    <t>eletrod 40mm</t>
  </si>
  <si>
    <t>16mm fase</t>
  </si>
  <si>
    <t>16mm neutro</t>
  </si>
  <si>
    <t>6mm fase</t>
  </si>
  <si>
    <t>6mm terra</t>
  </si>
  <si>
    <t>68.01.600</t>
  </si>
  <si>
    <t>Poste de concreto circular, 200 kg, H = 7,00 m</t>
  </si>
  <si>
    <t>36.03.010</t>
  </si>
  <si>
    <t>Caixa de medição tipo II (300 x 560 x 200) mm, padrão concessionárias</t>
  </si>
  <si>
    <t>37.13.660</t>
  </si>
  <si>
    <t>Disjuntor termomagnético, tripolar 220/380 V, corrente de 60 A até 100 A</t>
  </si>
  <si>
    <t>68.20.120</t>
  </si>
  <si>
    <t>Bengala em PVC para ramal de entrada, diâmetro de 32 mm</t>
  </si>
  <si>
    <t>38.01.040</t>
  </si>
  <si>
    <t>Eletroduto de PVC rígido roscável de 3/4´ - com acessórios</t>
  </si>
  <si>
    <t>M</t>
  </si>
  <si>
    <t>38.01.060</t>
  </si>
  <si>
    <t>Eletroduto de PVC rígido roscável de 1´ - com acessórios</t>
  </si>
  <si>
    <t>39.21.060</t>
  </si>
  <si>
    <t>Cabo de cobre flexível de 16 mm², isolamento 0,6/1kV - isolação HEPR 90°C</t>
  </si>
  <si>
    <t>42.05.310</t>
  </si>
  <si>
    <t>Caixa de inspeção do terra cilíndrica em PVC rígido, diâmetro de 300 mm - h= 250 mm</t>
  </si>
  <si>
    <t>42.05.200</t>
  </si>
  <si>
    <t>Haste de aterramento de 5/8´ x 2,4 m</t>
  </si>
  <si>
    <t>36.04.070</t>
  </si>
  <si>
    <t>Suporte para 4 isoladores de baixa tensão</t>
  </si>
  <si>
    <t>36.04.010</t>
  </si>
  <si>
    <t>Suporte para 1 isolador de baixa tensão</t>
  </si>
  <si>
    <t>36.05.010</t>
  </si>
  <si>
    <t>Isolador tipo roldana para baixa tensão de 76 x 79 mm</t>
  </si>
  <si>
    <t>CAIXA ENTERRADA ELÉTRICA RETANGULAR, EM CONCRETO PRÉ-MOLDADO, FUNDO COM BRITA, DIMENSÕES INTERNAS: 0,3X0,3X0,3 M. AF_12/2020</t>
  </si>
  <si>
    <t>QUADRO DE DISTRIBUIÇÃO DE ENERGIA EM PVC, DE EMBUTIR, SEM BARRAMENTO, PARA 3 DISJUNTORES - FORNECIMENTO E INSTALAÇÃO. AF_10/2020</t>
  </si>
  <si>
    <t>37.13.630</t>
  </si>
  <si>
    <t>Disjuntor termomagnético, bipolar 220/380 V, corrente de 10 A até 50 A</t>
  </si>
  <si>
    <t>38.13.010</t>
  </si>
  <si>
    <t>Eletroduto corrugado em polietileno de alta densidade, DN= 30 mm, com acessórios</t>
  </si>
  <si>
    <t>38.13.016</t>
  </si>
  <si>
    <t>Eletroduto corrugado em polietileno de alta densidade, DN= 40 mm, com acessórios</t>
  </si>
  <si>
    <t>39.02.030</t>
  </si>
  <si>
    <t>Cabo de cobre de 6 mm², isolamento 750 V - isolação em PVC 70°C</t>
  </si>
  <si>
    <t>1.5.1</t>
  </si>
  <si>
    <t>1.5.2</t>
  </si>
  <si>
    <t>1.5.3</t>
  </si>
  <si>
    <t>1.5.4</t>
  </si>
  <si>
    <t>1.5.5</t>
  </si>
  <si>
    <t>1.5.6</t>
  </si>
  <si>
    <t>1.5.7</t>
  </si>
  <si>
    <t>1.5.8</t>
  </si>
  <si>
    <t>1.5.9</t>
  </si>
  <si>
    <t>1.5.10</t>
  </si>
  <si>
    <t>1.5.11</t>
  </si>
  <si>
    <t>1.5.12</t>
  </si>
  <si>
    <t>1.5.13</t>
  </si>
  <si>
    <t>1.5.14</t>
  </si>
  <si>
    <t>1.5.15</t>
  </si>
  <si>
    <t>1.5.16</t>
  </si>
  <si>
    <t>1.5.17</t>
  </si>
  <si>
    <t>1.5.18</t>
  </si>
  <si>
    <t>1.5.19</t>
  </si>
  <si>
    <t>41.10.330</t>
  </si>
  <si>
    <t>Poste telecônico reto em aço SAE 1010/1020 galvanizado a fogo, altura de 10,00 m</t>
  </si>
  <si>
    <t>41.10.070</t>
  </si>
  <si>
    <t>Cruzeta reforçada em ferro galvanizado para fixação de quatro luminárias</t>
  </si>
  <si>
    <t>41.11.704</t>
  </si>
  <si>
    <t>Luminária LED retangular para poste, fluxo luminoso de 14083 lm, eficiência mínima 135 lm/W - potência de 104 W</t>
  </si>
  <si>
    <t>1.5.20</t>
  </si>
  <si>
    <t>1.5.21</t>
  </si>
  <si>
    <t>1.5.22</t>
  </si>
  <si>
    <t>quantidade de postes padrão de entrada</t>
  </si>
  <si>
    <t>quantidade caixas de medição</t>
  </si>
  <si>
    <t>quantidade disjuntores na caixa de medição</t>
  </si>
  <si>
    <t>UNID</t>
  </si>
  <si>
    <t>quantidade de bengalas</t>
  </si>
  <si>
    <t>quantidade eletroduto pvc rigido para telefonia</t>
  </si>
  <si>
    <t>quantidade eletroduto pvc rigido para eletrica</t>
  </si>
  <si>
    <t>fase</t>
  </si>
  <si>
    <t>neutro</t>
  </si>
  <si>
    <t>terra</t>
  </si>
  <si>
    <t>padrão</t>
  </si>
  <si>
    <t>distribuição salão multiuso</t>
  </si>
  <si>
    <t>nº de caixas de inspeção terra</t>
  </si>
  <si>
    <t>nº de hastes de aterramento</t>
  </si>
  <si>
    <t>nº de suporte 4 roldanas (3fases + neutro)</t>
  </si>
  <si>
    <t>nº de suporte 1 roldana (telefonia)</t>
  </si>
  <si>
    <t>nº de roldanas</t>
  </si>
  <si>
    <t>nº de caixas de passagem</t>
  </si>
  <si>
    <t>nº de quadros de distribuição</t>
  </si>
  <si>
    <t>nº de disjuntores</t>
  </si>
  <si>
    <t>comprimento eletroduto PEAD 40mm</t>
  </si>
  <si>
    <t>comprimento eletroduto PEAD 30mm</t>
  </si>
  <si>
    <t>nº de caixas abrigo bomba</t>
  </si>
  <si>
    <t>nº de postes</t>
  </si>
  <si>
    <t>nº de cruzetas = nº de postes</t>
  </si>
  <si>
    <t>nº de lampadas por poste</t>
  </si>
  <si>
    <t>CAIXA ENTERRADA RETANGULAR, EM CONCRETO PRÉ-MOLDADO, FUNDO COM BRITA,TAMPA EM CHAPA DE FERRO COM PORTA CADEADO, COM CADEADO, DIMENSÕES INTERNAS: 1X1X0,5 M</t>
  </si>
  <si>
    <t>PMBT.23.003</t>
  </si>
  <si>
    <t>RETROESCAVADEIRA SOBRE RODAS COM CARREGADEIRA, TRAÇÃO 4X4, POTÊNCIA LÍQ. 88 HP, CAÇAMBA CARREG. CAP. MÍN. 1 M3, CAÇAMBA RETRO CAP. 0,26 M3, PESO OPERACIONAL MÍN. 6.674 KG, PROFUNDIDADE ESCAVAÇÃO MÁX. 4,37 M - CHP DIURNO. AF_06/2014</t>
  </si>
  <si>
    <t>CHP</t>
  </si>
  <si>
    <t>RETROESCAVADEIRA SOBRE RODAS COM CARREGADEIRA, TRAÇÃO 4X4, POTÊNCIA LÍQ. 88 HP, CAÇAMBA CARREG. CAP. MÍN. 1 M3, CAÇAMBA RETRO CAP. 0,26 M3, PESO OPERACIONAL MÍN. 6.674 KG, PROFUNDIDADE ESCAVAÇÃO MÁX. 4,37 M - CHI DIURNO. AF_06/2014</t>
  </si>
  <si>
    <t>CHI</t>
  </si>
  <si>
    <t>CAIXA DE CONCRETO ARMADO PRE-MOLDADO, SEM FUNDO, QUADRADA, DIMENSOES DE 1,00 X 1,00 X 0,50 M</t>
  </si>
  <si>
    <t>PEDREIRO COM ENCARGOS COMPLEMENTARES</t>
  </si>
  <si>
    <t>SERVENTE COM ENCARGOS COMPLEMENTARES</t>
  </si>
  <si>
    <t>PREPARO DE FUNDO DE VALA COM LARGURA MENOR QUE 1,5 M, COM CAMADA DE BRITA, LANÇAMENTO MECANIZADO. AF_08/2020</t>
  </si>
  <si>
    <t>SINAPI</t>
  </si>
  <si>
    <t>24.03.100</t>
  </si>
  <si>
    <t>Alçapão/tampa em chapa de ferro com porta cadeado</t>
  </si>
  <si>
    <t>3.1</t>
  </si>
  <si>
    <t>3.2</t>
  </si>
  <si>
    <t>3.3</t>
  </si>
  <si>
    <t>3.4</t>
  </si>
  <si>
    <t>3.5</t>
  </si>
  <si>
    <t>3.6</t>
  </si>
  <si>
    <t>3.7</t>
  </si>
  <si>
    <t>35.04.150</t>
  </si>
  <si>
    <t>Banco em concreto pré-moldado com 3 pés, comprimento 300 cm</t>
  </si>
  <si>
    <t>1.6</t>
  </si>
  <si>
    <t>MOBILIÁRIO URBANO E SINALIZAÇÃO</t>
  </si>
  <si>
    <t>1.6.1</t>
  </si>
  <si>
    <t>Nº de bancos</t>
  </si>
  <si>
    <t>54.20.040</t>
  </si>
  <si>
    <t>Bate-roda em concreto pré-moldado</t>
  </si>
  <si>
    <t>1.6.2</t>
  </si>
  <si>
    <t>70.04.001</t>
  </si>
  <si>
    <t>Coluna simples (PP), diâmetro de 2 1/2´ e comprimento de 3,6 m</t>
  </si>
  <si>
    <t>70.03.010</t>
  </si>
  <si>
    <t>Placa para sinalização viária em alumínio composto, totalmente refletiva com película IA/IA - área até 2,0 m²</t>
  </si>
  <si>
    <t>70.02.010</t>
  </si>
  <si>
    <t>Sinalização horizontal com tinta vinílica ou acrílica</t>
  </si>
  <si>
    <t>1.6.3</t>
  </si>
  <si>
    <t>1.6.4</t>
  </si>
  <si>
    <t>1.6.5</t>
  </si>
  <si>
    <t>comprimento bate-roda</t>
  </si>
  <si>
    <t>nº de bate-roda</t>
  </si>
  <si>
    <t>nº de colunas = nº de placas</t>
  </si>
  <si>
    <t>nº de placas</t>
  </si>
  <si>
    <t>área da placa</t>
  </si>
  <si>
    <t>pictograma</t>
  </si>
  <si>
    <t>largura</t>
  </si>
  <si>
    <t>comprimento</t>
  </si>
  <si>
    <t>quantidade</t>
  </si>
  <si>
    <t>faixa amarea</t>
  </si>
  <si>
    <t>bate-roda</t>
  </si>
  <si>
    <t>perímetro</t>
  </si>
  <si>
    <t>1.7</t>
  </si>
  <si>
    <t xml:space="preserve">PERGOLADO </t>
  </si>
  <si>
    <r>
      <rPr>
        <sz val="11"/>
        <color theme="1"/>
        <rFont val="Calibri"/>
        <family val="2"/>
      </rPr>
      <t>ϒ</t>
    </r>
    <r>
      <rPr>
        <sz val="11"/>
        <color theme="1"/>
        <rFont val="Calibri"/>
        <family val="2"/>
        <scheme val="minor"/>
      </rPr>
      <t xml:space="preserve"> (kg/m)</t>
    </r>
  </si>
  <si>
    <t>PILARES</t>
  </si>
  <si>
    <t>P113=P114=P117=P118</t>
  </si>
  <si>
    <t>P101 a P106</t>
  </si>
  <si>
    <t>BC01 a BC06</t>
  </si>
  <si>
    <t>BLOCOS</t>
  </si>
  <si>
    <t>ESCAVAÇÃO MECANIZADA PARA BLOCO DE COROAMENTO OU SAPATA COM RETROESCAVADEIRA (SEM ESCAVAÇÃO PARA COLOCAÇÃO DE FÔRMAS). AF_06/2017</t>
  </si>
  <si>
    <t>LASTRO DE CONCRETO MAGRO, APLICADO EM BLOCOS DE COROAMENTO OU SAPATAS. AF_08/2017</t>
  </si>
  <si>
    <t>CONCRETAGEM DE BLOCOS DE COROAMENTO E VIGAS BALDRAME, FCK 30 MPA, COM USO DE JERICA  LANÇAMENTO, ADENSAMENTO E ACABAMENTO. AF_06/2017</t>
  </si>
  <si>
    <t>10.01.040</t>
  </si>
  <si>
    <t>Armadura em barra de aço CA-50 (A ou B) fyk = 500 MPa</t>
  </si>
  <si>
    <t>KG</t>
  </si>
  <si>
    <t>10.01.060</t>
  </si>
  <si>
    <t>Armadura em barra de aço CA-60 (A ou B) fyk = 600 MPa</t>
  </si>
  <si>
    <t>1.7.1</t>
  </si>
  <si>
    <t>1.7.2</t>
  </si>
  <si>
    <t>1.7.3</t>
  </si>
  <si>
    <t>1.7.4</t>
  </si>
  <si>
    <t>1.7.5</t>
  </si>
  <si>
    <t>09.02.040</t>
  </si>
  <si>
    <t>Forma plana em compensado para estrutura aparente</t>
  </si>
  <si>
    <t>1.7.6</t>
  </si>
  <si>
    <t>1.7.7</t>
  </si>
  <si>
    <t>1.7.8</t>
  </si>
  <si>
    <t>1.7.9</t>
  </si>
  <si>
    <t>11.03.090</t>
  </si>
  <si>
    <t>Concreto preparado no local, fck = 20 MPa</t>
  </si>
  <si>
    <t>ANCORAGEM</t>
  </si>
  <si>
    <t>33.03.750</t>
  </si>
  <si>
    <t>Verniz acrílico</t>
  </si>
  <si>
    <t>CHAPA DE ACO GROSSA, ASTM A36, E = 1/2 " (12,70 MM) 99,59 KG/M2</t>
  </si>
  <si>
    <t>33.07.140</t>
  </si>
  <si>
    <t>Pintura com esmalte alquídico em estrutura metálica</t>
  </si>
  <si>
    <t>15.03.030</t>
  </si>
  <si>
    <t>Fornecimento e montagem de estrutura em aço ASTM-A36, sem pintura</t>
  </si>
  <si>
    <t>1.7.10</t>
  </si>
  <si>
    <t>1.7.11</t>
  </si>
  <si>
    <t>comprimento escavação = comprimento blocos</t>
  </si>
  <si>
    <t>largura escavação = largura blocos</t>
  </si>
  <si>
    <t>profundidade escavação</t>
  </si>
  <si>
    <t>nº de blocos</t>
  </si>
  <si>
    <t>largura lastro = largura blocos</t>
  </si>
  <si>
    <t>comprimento lastro = comprimento blocos</t>
  </si>
  <si>
    <t>espessura lastro</t>
  </si>
  <si>
    <t>aço ca-50 blocos</t>
  </si>
  <si>
    <t>aço ca-50 pilares</t>
  </si>
  <si>
    <t>aço ca-50 ancoragem</t>
  </si>
  <si>
    <t>kg</t>
  </si>
  <si>
    <t>largura bloco</t>
  </si>
  <si>
    <t>comprimeno bloco</t>
  </si>
  <si>
    <t>altura bloco</t>
  </si>
  <si>
    <t>perímetro pilares</t>
  </si>
  <si>
    <t>atura total pilares</t>
  </si>
  <si>
    <t>nº de pilares = nº de blocos</t>
  </si>
  <si>
    <t>1.7.12</t>
  </si>
  <si>
    <t>11.16.060</t>
  </si>
  <si>
    <t>Lançamento e adensamento de concreto ou massa em estrutura</t>
  </si>
  <si>
    <t>lagura pilar</t>
  </si>
  <si>
    <t>espessura pilar</t>
  </si>
  <si>
    <t>altura total pilar</t>
  </si>
  <si>
    <t>volume de concreto para pilares</t>
  </si>
  <si>
    <t>06.11.040</t>
  </si>
  <si>
    <t>Reaterro manual apiloado sem controle de compactação</t>
  </si>
  <si>
    <t>1.7.13</t>
  </si>
  <si>
    <t>volume reaterrado = volume escavado - volume concreto dos blocos</t>
  </si>
  <si>
    <t>volume escavado</t>
  </si>
  <si>
    <t>volume concreto dos blocos</t>
  </si>
  <si>
    <t>altura livre pilares</t>
  </si>
  <si>
    <t>largura chapa</t>
  </si>
  <si>
    <t>comprimento chapa</t>
  </si>
  <si>
    <t>nº de chapas = nº de pilares</t>
  </si>
  <si>
    <t>massa específica chapa</t>
  </si>
  <si>
    <t>kg/m2</t>
  </si>
  <si>
    <t>terças metálicas</t>
  </si>
  <si>
    <t>comprimento total</t>
  </si>
  <si>
    <t>massa específica perfil das terças</t>
  </si>
  <si>
    <t>kg/m</t>
  </si>
  <si>
    <t>ripas metálicas</t>
  </si>
  <si>
    <t>massa específica perfil das ripas</t>
  </si>
  <si>
    <t>massa de estrutura metálica</t>
  </si>
  <si>
    <t>1.7.14</t>
  </si>
  <si>
    <t>17.01.020</t>
  </si>
  <si>
    <t>Argamassa de regularização e/ou proteção</t>
  </si>
  <si>
    <t>largura argamassa</t>
  </si>
  <si>
    <t>comprimento argamassa</t>
  </si>
  <si>
    <t>nº de pilares</t>
  </si>
  <si>
    <t>aço ca-60 blocos</t>
  </si>
  <si>
    <t>aço ca-60 pilares</t>
  </si>
  <si>
    <t>aço ca-60 ancoragem</t>
  </si>
  <si>
    <t>1.8</t>
  </si>
  <si>
    <t>ESPELHO D'ÁGUA</t>
  </si>
  <si>
    <t>07.02.020</t>
  </si>
  <si>
    <t>Escavação mecanizada de valas ou cavas com profundidade de até 2 m</t>
  </si>
  <si>
    <t>14.01.050</t>
  </si>
  <si>
    <t>Alvenaria de embasamento em bloco de concreto de 14 x 19 x 39 cm - classe A</t>
  </si>
  <si>
    <t>14.01.060</t>
  </si>
  <si>
    <t>Alvenaria de embasamento em bloco de concreto de 19 x 19 x 39 cm - classe A</t>
  </si>
  <si>
    <t>14.10.111</t>
  </si>
  <si>
    <t>Alvenaria de bloco de concreto de vedação de 14 x 19 x 39 cm - classe C</t>
  </si>
  <si>
    <t>14.10.121</t>
  </si>
  <si>
    <t>Alvenaria de bloco de concreto de vedação de 19 x 19 x 39 cm - classe C</t>
  </si>
  <si>
    <t>1.8.1</t>
  </si>
  <si>
    <t>1.8.2</t>
  </si>
  <si>
    <t>1.8.3</t>
  </si>
  <si>
    <t>1.8.4</t>
  </si>
  <si>
    <t>1.8.5</t>
  </si>
  <si>
    <t>1.8.6</t>
  </si>
  <si>
    <t>11.05.040</t>
  </si>
  <si>
    <t>Argamassa graute</t>
  </si>
  <si>
    <t>ARMAÇÃO DE CINTA DE ALVENARIA ESTRUTURAL; DIÂMETRO DE 10,0 MM. AF_09/2021</t>
  </si>
  <si>
    <t>1.8.7</t>
  </si>
  <si>
    <t>1.8.8</t>
  </si>
  <si>
    <t>1.8.9</t>
  </si>
  <si>
    <t>1.8.10</t>
  </si>
  <si>
    <t>1.8.11</t>
  </si>
  <si>
    <t>17.02.020</t>
  </si>
  <si>
    <t>Chapisco</t>
  </si>
  <si>
    <t>17.02.120</t>
  </si>
  <si>
    <t>Emboço comum</t>
  </si>
  <si>
    <t>11.18.040</t>
  </si>
  <si>
    <t>Lastro de pedra britada</t>
  </si>
  <si>
    <t>11.18.060</t>
  </si>
  <si>
    <t>Lona plástica</t>
  </si>
  <si>
    <t>1.8.12</t>
  </si>
  <si>
    <t>17.05.020</t>
  </si>
  <si>
    <t>Piso com requadro em concreto simples sem controle de fck</t>
  </si>
  <si>
    <t>1.8.13</t>
  </si>
  <si>
    <t>1.8.14</t>
  </si>
  <si>
    <t>1.8.15</t>
  </si>
  <si>
    <t>área de escavação</t>
  </si>
  <si>
    <t>largura lastro</t>
  </si>
  <si>
    <t>comprimento lastro = comprimento fileira do meio dos blocos</t>
  </si>
  <si>
    <t xml:space="preserve">comprimento </t>
  </si>
  <si>
    <t>altura enterrada</t>
  </si>
  <si>
    <t>nº de barras</t>
  </si>
  <si>
    <t>massa específica aço  10mm</t>
  </si>
  <si>
    <t>fileira externa de blocos</t>
  </si>
  <si>
    <t>fileira interna de blocos</t>
  </si>
  <si>
    <t>fileira do meio de blocos</t>
  </si>
  <si>
    <t>fileira externa de blocos (14x19)</t>
  </si>
  <si>
    <t>nº de fiadas</t>
  </si>
  <si>
    <t>fator de uso de argamasa</t>
  </si>
  <si>
    <t>m3/m</t>
  </si>
  <si>
    <t>fileira do meio de blocos (19x19)</t>
  </si>
  <si>
    <t>fileira interna de blocos (14x19)</t>
  </si>
  <si>
    <t>enchimento entre blocos</t>
  </si>
  <si>
    <t xml:space="preserve">comprimento = comprimeno da fileira do meio </t>
  </si>
  <si>
    <t>face externa</t>
  </si>
  <si>
    <t>face interna</t>
  </si>
  <si>
    <t>altura+ face superior</t>
  </si>
  <si>
    <t>altura + face superior</t>
  </si>
  <si>
    <t>canaleta</t>
  </si>
  <si>
    <t>altura interna + face inferior + altura externa</t>
  </si>
  <si>
    <t>área de emboço = área de chapisco</t>
  </si>
  <si>
    <t xml:space="preserve">área espelho d'água </t>
  </si>
  <si>
    <t>espessura concreto</t>
  </si>
  <si>
    <t>pastilha laranja</t>
  </si>
  <si>
    <t>comprimento =  comprimento fileira externa</t>
  </si>
  <si>
    <t>pastilha azul (canaleta)</t>
  </si>
  <si>
    <t>comprimento = comprimento fileira do meio</t>
  </si>
  <si>
    <t>largura = perímetro canaleta</t>
  </si>
  <si>
    <t>pastilha azul (espelho d´água)</t>
  </si>
  <si>
    <t>18.12.020</t>
  </si>
  <si>
    <t>Revestimento em pastilha de porcelana natural ou esmaltada de 5x5 cm, assentado e rejuntado com argamassa colante industrializada</t>
  </si>
  <si>
    <t>TUBO, PEX, MONOCAMADA, DN 25, INSTALADO EM RAMAL/SUB-RAMAL OU DISTRIBUIÇÃO DE ÁGUA - FORNECIMENTO E INSTALAÇÃO. AF_02/2023</t>
  </si>
  <si>
    <t>TUBO, PEX, MONOCAMADA, DN 32, INSTALADO EM RAMAL/SUB-RAMAL OU DISTRIBUIÇÃO DE ÁGUA - FORNECIMENTO E INSTALAÇÃO. AF_02/2023</t>
  </si>
  <si>
    <t>1.8.16</t>
  </si>
  <si>
    <t>1.8.17</t>
  </si>
  <si>
    <t>1.8.18</t>
  </si>
  <si>
    <t>área de reaterro = área de espelho d'água</t>
  </si>
  <si>
    <t>altura reaterro</t>
  </si>
  <si>
    <t>comprimento tubos pex 25mm</t>
  </si>
  <si>
    <t>comprimento tubos pex 32mm</t>
  </si>
  <si>
    <t>CONEXÃO FIXA, ROSCA FÊMEA, METÁLICA, PARA INSTALAÇÕES EM PEX ÁGUA, DN 25 MM X 1", COM ANEL DESLIZANTE - FORNECIMENTO E INSTALAÇÃO. AF_02/2023</t>
  </si>
  <si>
    <t>CONEXÃO FIXA, ROSCA FÊMEA, METÁLICA, PARA INSTALAÇÕES EM PEX ÁGUA, DN 32 MM X 1", COM ANEL DESLIZANTE - FORNECIMENTO E INSTALAÇÃO. AF_02/2023</t>
  </si>
  <si>
    <t>TÊ, METÁLICO, PARA INSTALAÇÕES EM PEX ÁGUA, DN 25 MM, CONEXÃO POR ANEL DESLIZANTE - FORNECIMENTO E INSTALAÇÃO. AF_02/2023</t>
  </si>
  <si>
    <t>TÊ, METÁLICO, PARA INSTALAÇÕES EM PEX ÁGUA, DN 32 MM, CONEXÃO POR ANEL DESLIZANTE - FORNECIMENTO E INSTALAÇÃO. AF_02/2023</t>
  </si>
  <si>
    <t>1.8.19</t>
  </si>
  <si>
    <t>1.8.20</t>
  </si>
  <si>
    <t>1.8.21</t>
  </si>
  <si>
    <t>47.01.190</t>
  </si>
  <si>
    <t>Válvula de esfera monobloco em latão, passagem plena, acionamento com alavanca, DN= 1´</t>
  </si>
  <si>
    <t>FLANGE SEXTAVADO DE FERRO GALVANIZADO, COM ROSCA BSP, DE 1"</t>
  </si>
  <si>
    <t xml:space="preserve">UN </t>
  </si>
  <si>
    <t>1.8.22</t>
  </si>
  <si>
    <t>1.8.23</t>
  </si>
  <si>
    <t>SINAPI-I - 02/2023</t>
  </si>
  <si>
    <t>43.10.230</t>
  </si>
  <si>
    <t>Conjunto motor-bomba (centrífuga) 2 cv, monoestágio, Hman= 12 a 27 mca, Q= 25 a 8 m³/h</t>
  </si>
  <si>
    <t>1.8.24</t>
  </si>
  <si>
    <t>válvula esfera entrada</t>
  </si>
  <si>
    <t xml:space="preserve">quantidade de conexões </t>
  </si>
  <si>
    <t>entrada (hidrômetro)</t>
  </si>
  <si>
    <t>bomba</t>
  </si>
  <si>
    <t>válvula esfera saída</t>
  </si>
  <si>
    <t>quantidade de tês 25mm</t>
  </si>
  <si>
    <t>esguicho 1</t>
  </si>
  <si>
    <t>esguicho  2</t>
  </si>
  <si>
    <t>quantidade de tês 32mm</t>
  </si>
  <si>
    <t>extravasor -&gt; limpeza</t>
  </si>
  <si>
    <t>quantidade válvulas de esfera</t>
  </si>
  <si>
    <t>1.8.25</t>
  </si>
  <si>
    <t>FLANGE SEXTAVADO DE FERRO GALVANIZADO, COM ROSCA BSP, DE 1 1/4"</t>
  </si>
  <si>
    <t>quantidade de flanges 1'</t>
  </si>
  <si>
    <t>entrada água</t>
  </si>
  <si>
    <t>entrada bomba</t>
  </si>
  <si>
    <t>extravasor</t>
  </si>
  <si>
    <t>limpeza</t>
  </si>
  <si>
    <t>final tubo de limpeza / extravasor (sarjeta)</t>
  </si>
  <si>
    <t>quantidade de bombas</t>
  </si>
  <si>
    <t>50.01.220</t>
  </si>
  <si>
    <t>Esguicho latão com engate rápido, DN= 1 1/2´, jato regulável</t>
  </si>
  <si>
    <t>1.8.26</t>
  </si>
  <si>
    <t>quantidade de esguichos</t>
  </si>
  <si>
    <t>TOTAL GERAL</t>
  </si>
  <si>
    <t>1.5.23</t>
  </si>
  <si>
    <t>comprimento eletrodutos</t>
  </si>
  <si>
    <t>profundidade valeta</t>
  </si>
  <si>
    <t>largura valeta</t>
  </si>
  <si>
    <t>1.5.24</t>
  </si>
  <si>
    <t>volume reaterro = volume escavado para eletrodutos</t>
  </si>
  <si>
    <t>escavação para alvenaria</t>
  </si>
  <si>
    <t>escavação para tubo pex</t>
  </si>
  <si>
    <t>comprimento escavação</t>
  </si>
  <si>
    <t>largura escavação</t>
  </si>
  <si>
    <t>reaterro espelho d'água</t>
  </si>
  <si>
    <t>reaterro tubos pex</t>
  </si>
  <si>
    <t>espessura argamassa</t>
  </si>
  <si>
    <t>OBJETO: PAISAGISMO DA ÁREA EXTERNA DO SALÃO MULTIUSO</t>
  </si>
  <si>
    <t>ART: 28027230230620897</t>
  </si>
  <si>
    <t>[PREENCHER COM TIMPRE DA EMPRESA]</t>
  </si>
  <si>
    <t>DATA: PREENCHER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</si>
</sst>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$-F800]dddd\,\ mmmm\ dd\,\ yyyy"/>
    <numFmt numFmtId="165" formatCode="0.000"/>
    <numFmt numFmtId="166" formatCode="0.000000"/>
    <numFmt numFmtId="167" formatCode="0.000000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sz val="16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Arial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b/>
      <sz val="11"/>
      <name val="Times New Roman"/>
      <family val="1"/>
    </font>
    <font>
      <sz val="36"/>
      <color theme="1"/>
      <name val="Times New Roman"/>
      <family val="1"/>
    </font>
    <font>
      <sz val="14"/>
      <color theme="1"/>
      <name val="Times New Roman"/>
      <family val="1"/>
    </font>
    <font>
      <i/>
      <sz val="10"/>
      <color theme="1"/>
      <name val="Times New Roman"/>
      <family val="1"/>
    </font>
    <font>
      <u/>
      <sz val="11"/>
      <color theme="1"/>
      <name val="Arial"/>
      <family val="2"/>
    </font>
    <font>
      <i/>
      <sz val="11"/>
      <color theme="1"/>
      <name val="Arial"/>
      <family val="2"/>
    </font>
    <font>
      <i/>
      <sz val="11"/>
      <color theme="1"/>
      <name val="Times New Roman"/>
      <family val="1"/>
    </font>
    <font>
      <sz val="11"/>
      <name val="Arial"/>
      <family val="2"/>
    </font>
    <font>
      <sz val="16"/>
      <name val="Times New Roman"/>
      <family val="1"/>
    </font>
    <font>
      <sz val="11"/>
      <name val="Calibri"/>
      <family val="2"/>
      <scheme val="minor"/>
    </font>
    <font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6"/>
      <color rgb="FFFF0000"/>
      <name val="Times New Roman"/>
      <family val="1"/>
    </font>
    <font>
      <sz val="18"/>
      <color rgb="FFFF0000"/>
      <name val="Times New Roman"/>
      <family val="1"/>
    </font>
    <font>
      <b/>
      <sz val="11"/>
      <color rgb="FFFF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4" fontId="1" fillId="0" borderId="0" applyFont="0" applyFill="0" applyBorder="0" applyAlignment="0" applyProtection="0"/>
  </cellStyleXfs>
  <cellXfs count="331">
    <xf numFmtId="0" fontId="0" fillId="0" borderId="0" xfId="0"/>
    <xf numFmtId="0" fontId="0" fillId="0" borderId="0" xfId="0"/>
    <xf numFmtId="0" fontId="2" fillId="0" borderId="0" xfId="0" applyFont="1"/>
    <xf numFmtId="4" fontId="2" fillId="0" borderId="0" xfId="0" applyNumberFormat="1" applyFont="1"/>
    <xf numFmtId="44" fontId="2" fillId="0" borderId="0" xfId="0" applyNumberFormat="1" applyFon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10" fontId="5" fillId="0" borderId="1" xfId="0" applyNumberFormat="1" applyFont="1" applyBorder="1" applyAlignment="1">
      <alignment horizontal="center"/>
    </xf>
    <xf numFmtId="0" fontId="5" fillId="0" borderId="1" xfId="0" applyFont="1" applyBorder="1"/>
    <xf numFmtId="0" fontId="9" fillId="0" borderId="1" xfId="0" applyFont="1" applyBorder="1"/>
    <xf numFmtId="10" fontId="10" fillId="0" borderId="1" xfId="0" applyNumberFormat="1" applyFont="1" applyBorder="1" applyAlignment="1">
      <alignment horizontal="center"/>
    </xf>
    <xf numFmtId="0" fontId="5" fillId="0" borderId="0" xfId="0" applyFont="1"/>
    <xf numFmtId="10" fontId="5" fillId="0" borderId="0" xfId="0" applyNumberFormat="1" applyFont="1"/>
    <xf numFmtId="0" fontId="5" fillId="0" borderId="3" xfId="0" applyFont="1" applyBorder="1"/>
    <xf numFmtId="0" fontId="11" fillId="0" borderId="4" xfId="0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0" xfId="0" applyFont="1" applyFill="1" applyBorder="1" applyAlignment="1">
      <alignment horizontal="right" wrapText="1"/>
    </xf>
    <xf numFmtId="0" fontId="5" fillId="0" borderId="0" xfId="0" applyFont="1" applyFill="1" applyBorder="1" applyAlignment="1">
      <alignment horizontal="left" vertical="top"/>
    </xf>
    <xf numFmtId="0" fontId="12" fillId="0" borderId="16" xfId="0" applyFont="1" applyFill="1" applyBorder="1" applyAlignment="1">
      <alignment horizontal="center" wrapText="1"/>
    </xf>
    <xf numFmtId="0" fontId="12" fillId="0" borderId="22" xfId="0" applyFont="1" applyFill="1" applyBorder="1" applyAlignment="1">
      <alignment horizontal="left" vertical="justify" wrapText="1"/>
    </xf>
    <xf numFmtId="0" fontId="0" fillId="0" borderId="0" xfId="0" applyFill="1" applyBorder="1" applyAlignment="1">
      <alignment horizontal="left" vertical="justify" wrapText="1"/>
    </xf>
    <xf numFmtId="0" fontId="11" fillId="0" borderId="0" xfId="0" applyFont="1" applyBorder="1" applyAlignment="1">
      <alignment vertical="center"/>
    </xf>
    <xf numFmtId="0" fontId="5" fillId="0" borderId="0" xfId="0" applyFont="1" applyBorder="1"/>
    <xf numFmtId="0" fontId="12" fillId="0" borderId="0" xfId="0" applyFont="1" applyBorder="1" applyAlignment="1">
      <alignment horizontal="center" vertical="top"/>
    </xf>
    <xf numFmtId="0" fontId="5" fillId="0" borderId="22" xfId="0" applyFont="1" applyBorder="1"/>
    <xf numFmtId="0" fontId="5" fillId="0" borderId="7" xfId="0" applyFont="1" applyBorder="1"/>
    <xf numFmtId="0" fontId="11" fillId="0" borderId="8" xfId="0" applyFont="1" applyBorder="1" applyAlignment="1">
      <alignment vertical="center"/>
    </xf>
    <xf numFmtId="0" fontId="5" fillId="0" borderId="8" xfId="0" applyFont="1" applyBorder="1"/>
    <xf numFmtId="0" fontId="5" fillId="0" borderId="9" xfId="0" applyFont="1" applyBorder="1"/>
    <xf numFmtId="0" fontId="5" fillId="0" borderId="16" xfId="0" applyFont="1" applyBorder="1"/>
    <xf numFmtId="0" fontId="13" fillId="0" borderId="0" xfId="0" applyFont="1" applyAlignment="1">
      <alignment horizontal="center"/>
    </xf>
    <xf numFmtId="0" fontId="0" fillId="0" borderId="0" xfId="0"/>
    <xf numFmtId="0" fontId="0" fillId="0" borderId="28" xfId="0" applyBorder="1" applyAlignment="1">
      <alignment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vertical="center"/>
    </xf>
    <xf numFmtId="0" fontId="0" fillId="0" borderId="29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2" fontId="0" fillId="0" borderId="28" xfId="0" applyNumberForma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2" fontId="0" fillId="0" borderId="30" xfId="0" applyNumberFormat="1" applyBorder="1" applyAlignment="1">
      <alignment horizontal="center" vertical="center"/>
    </xf>
    <xf numFmtId="0" fontId="0" fillId="0" borderId="11" xfId="0" applyBorder="1" applyAlignment="1">
      <alignment vertical="center" wrapText="1"/>
    </xf>
    <xf numFmtId="2" fontId="0" fillId="0" borderId="11" xfId="0" applyNumberForma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6" xfId="0" applyBorder="1" applyAlignment="1">
      <alignment horizontal="right" vertical="center"/>
    </xf>
    <xf numFmtId="0" fontId="0" fillId="6" borderId="0" xfId="0" applyFill="1"/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right" vertical="center"/>
    </xf>
    <xf numFmtId="0" fontId="0" fillId="0" borderId="13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4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0" fillId="0" borderId="11" xfId="0" applyBorder="1" applyAlignment="1">
      <alignment horizontal="center" vertical="center"/>
    </xf>
    <xf numFmtId="1" fontId="0" fillId="0" borderId="13" xfId="0" applyNumberFormat="1" applyBorder="1" applyAlignment="1">
      <alignment horizontal="right" vertical="center"/>
    </xf>
    <xf numFmtId="0" fontId="0" fillId="0" borderId="11" xfId="0" applyBorder="1" applyAlignment="1">
      <alignment horizontal="center" vertical="center" wrapText="1"/>
    </xf>
    <xf numFmtId="0" fontId="19" fillId="0" borderId="0" xfId="0" applyFont="1"/>
    <xf numFmtId="0" fontId="19" fillId="0" borderId="0" xfId="0" applyFont="1" applyFill="1"/>
    <xf numFmtId="0" fontId="19" fillId="0" borderId="0" xfId="0" applyFont="1" applyAlignment="1">
      <alignment horizontal="center" wrapText="1"/>
    </xf>
    <xf numFmtId="0" fontId="19" fillId="0" borderId="0" xfId="0" applyFont="1" applyAlignment="1">
      <alignment horizontal="left"/>
    </xf>
    <xf numFmtId="0" fontId="0" fillId="0" borderId="0" xfId="0" applyFill="1"/>
    <xf numFmtId="0" fontId="2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0" fillId="0" borderId="0" xfId="0" applyFill="1" applyAlignment="1">
      <alignment wrapText="1"/>
    </xf>
    <xf numFmtId="4" fontId="21" fillId="0" borderId="23" xfId="0" applyNumberFormat="1" applyFont="1" applyFill="1" applyBorder="1" applyAlignment="1">
      <alignment horizontal="center" vertical="center"/>
    </xf>
    <xf numFmtId="0" fontId="22" fillId="5" borderId="23" xfId="0" applyFont="1" applyFill="1" applyBorder="1" applyAlignment="1">
      <alignment horizontal="left" vertical="center"/>
    </xf>
    <xf numFmtId="0" fontId="19" fillId="0" borderId="0" xfId="0" applyFont="1" applyBorder="1"/>
    <xf numFmtId="0" fontId="19" fillId="0" borderId="23" xfId="0" applyFont="1" applyFill="1" applyBorder="1"/>
    <xf numFmtId="0" fontId="23" fillId="0" borderId="0" xfId="0" applyFont="1" applyFill="1" applyAlignment="1">
      <alignment wrapText="1"/>
    </xf>
    <xf numFmtId="44" fontId="0" fillId="0" borderId="0" xfId="0" applyNumberFormat="1"/>
    <xf numFmtId="0" fontId="24" fillId="0" borderId="0" xfId="0" applyFont="1" applyFill="1"/>
    <xf numFmtId="0" fontId="24" fillId="0" borderId="0" xfId="0" applyFont="1"/>
    <xf numFmtId="0" fontId="5" fillId="0" borderId="12" xfId="0" applyFont="1" applyBorder="1" applyAlignment="1">
      <alignment horizontal="center"/>
    </xf>
    <xf numFmtId="0" fontId="5" fillId="0" borderId="25" xfId="0" applyFont="1" applyFill="1" applyBorder="1" applyAlignment="1">
      <alignment horizontal="left" vertical="center"/>
    </xf>
    <xf numFmtId="0" fontId="5" fillId="0" borderId="26" xfId="0" applyFont="1" applyFill="1" applyBorder="1" applyAlignment="1">
      <alignment vertical="center"/>
    </xf>
    <xf numFmtId="0" fontId="5" fillId="0" borderId="27" xfId="0" applyFont="1" applyFill="1" applyBorder="1" applyAlignment="1">
      <alignment vertical="center"/>
    </xf>
    <xf numFmtId="0" fontId="5" fillId="7" borderId="28" xfId="0" applyFont="1" applyFill="1" applyBorder="1" applyAlignment="1">
      <alignment horizontal="center" vertical="center" wrapText="1"/>
    </xf>
    <xf numFmtId="44" fontId="5" fillId="8" borderId="28" xfId="5" applyFont="1" applyFill="1" applyBorder="1" applyAlignment="1">
      <alignment horizontal="center" vertical="center"/>
    </xf>
    <xf numFmtId="44" fontId="5" fillId="8" borderId="28" xfId="0" applyNumberFormat="1" applyFont="1" applyFill="1" applyBorder="1" applyAlignment="1">
      <alignment horizontal="center" vertical="center"/>
    </xf>
    <xf numFmtId="44" fontId="5" fillId="2" borderId="30" xfId="5" applyFont="1" applyFill="1" applyBorder="1" applyAlignment="1">
      <alignment horizontal="center" vertical="center"/>
    </xf>
    <xf numFmtId="10" fontId="5" fillId="2" borderId="30" xfId="1" applyNumberFormat="1" applyFont="1" applyFill="1" applyBorder="1" applyAlignment="1">
      <alignment horizontal="center" vertical="center"/>
    </xf>
    <xf numFmtId="10" fontId="5" fillId="0" borderId="29" xfId="1" applyNumberFormat="1" applyFont="1" applyFill="1" applyBorder="1" applyAlignment="1">
      <alignment horizontal="center" vertical="center"/>
    </xf>
    <xf numFmtId="10" fontId="5" fillId="0" borderId="30" xfId="0" applyNumberFormat="1" applyFont="1" applyBorder="1" applyAlignment="1">
      <alignment horizontal="center"/>
    </xf>
    <xf numFmtId="0" fontId="25" fillId="0" borderId="25" xfId="0" applyFont="1" applyBorder="1" applyAlignment="1">
      <alignment horizontal="center" vertical="center"/>
    </xf>
    <xf numFmtId="0" fontId="25" fillId="0" borderId="27" xfId="0" applyFont="1" applyBorder="1" applyAlignment="1">
      <alignment horizontal="right" vertical="center"/>
    </xf>
    <xf numFmtId="44" fontId="5" fillId="0" borderId="11" xfId="5" applyFont="1" applyBorder="1" applyAlignment="1">
      <alignment horizontal="center" vertical="center" wrapText="1"/>
    </xf>
    <xf numFmtId="44" fontId="5" fillId="0" borderId="27" xfId="5" applyFont="1" applyBorder="1" applyAlignment="1">
      <alignment horizontal="center" vertical="center" wrapText="1"/>
    </xf>
    <xf numFmtId="44" fontId="5" fillId="0" borderId="11" xfId="0" applyNumberFormat="1" applyFont="1" applyBorder="1" applyAlignment="1">
      <alignment horizontal="right" vertical="center"/>
    </xf>
    <xf numFmtId="10" fontId="5" fillId="0" borderId="27" xfId="1" applyNumberFormat="1" applyFont="1" applyBorder="1" applyAlignment="1">
      <alignment horizontal="center" vertical="center"/>
    </xf>
    <xf numFmtId="0" fontId="5" fillId="0" borderId="27" xfId="0" applyFont="1" applyBorder="1" applyAlignment="1">
      <alignment horizontal="right" vertical="center"/>
    </xf>
    <xf numFmtId="10" fontId="5" fillId="0" borderId="11" xfId="1" applyNumberFormat="1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44" fontId="5" fillId="0" borderId="11" xfId="0" applyNumberFormat="1" applyFont="1" applyBorder="1" applyAlignment="1">
      <alignment horizontal="center" vertical="center"/>
    </xf>
    <xf numFmtId="10" fontId="5" fillId="0" borderId="11" xfId="0" applyNumberFormat="1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vertical="center" wrapText="1"/>
    </xf>
    <xf numFmtId="0" fontId="25" fillId="0" borderId="0" xfId="0" applyFont="1" applyBorder="1" applyAlignment="1">
      <alignment horizontal="right" vertical="center"/>
    </xf>
    <xf numFmtId="10" fontId="25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164" fontId="5" fillId="0" borderId="0" xfId="0" applyNumberFormat="1" applyFont="1" applyAlignment="1"/>
    <xf numFmtId="164" fontId="5" fillId="0" borderId="0" xfId="0" applyNumberFormat="1" applyFont="1" applyAlignment="1">
      <alignment wrapText="1"/>
    </xf>
    <xf numFmtId="0" fontId="5" fillId="0" borderId="0" xfId="0" applyFont="1" applyAlignment="1"/>
    <xf numFmtId="0" fontId="5" fillId="0" borderId="16" xfId="0" applyFont="1" applyBorder="1" applyAlignment="1"/>
    <xf numFmtId="0" fontId="16" fillId="0" borderId="0" xfId="0" applyFont="1" applyBorder="1" applyAlignment="1"/>
    <xf numFmtId="0" fontId="0" fillId="0" borderId="11" xfId="0" applyBorder="1"/>
    <xf numFmtId="0" fontId="23" fillId="7" borderId="0" xfId="0" applyFont="1" applyFill="1" applyAlignment="1">
      <alignment wrapText="1"/>
    </xf>
    <xf numFmtId="0" fontId="5" fillId="7" borderId="11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5" fillId="7" borderId="11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7" borderId="0" xfId="0" applyFill="1" applyAlignment="1">
      <alignment wrapText="1"/>
    </xf>
    <xf numFmtId="0" fontId="25" fillId="4" borderId="26" xfId="0" applyFont="1" applyFill="1" applyBorder="1" applyAlignment="1">
      <alignment horizontal="left" vertical="center"/>
    </xf>
    <xf numFmtId="0" fontId="25" fillId="4" borderId="26" xfId="0" applyFont="1" applyFill="1" applyBorder="1" applyAlignment="1">
      <alignment horizontal="center" vertical="center" wrapText="1"/>
    </xf>
    <xf numFmtId="0" fontId="25" fillId="4" borderId="26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10" fontId="5" fillId="0" borderId="0" xfId="1" applyNumberFormat="1" applyFont="1" applyBorder="1" applyAlignment="1">
      <alignment horizontal="left" vertical="center" wrapText="1"/>
    </xf>
    <xf numFmtId="10" fontId="5" fillId="0" borderId="0" xfId="0" applyNumberFormat="1" applyFont="1" applyBorder="1" applyAlignment="1">
      <alignment horizontal="left" vertical="center"/>
    </xf>
    <xf numFmtId="0" fontId="25" fillId="0" borderId="11" xfId="0" applyFont="1" applyFill="1" applyBorder="1" applyAlignment="1">
      <alignment horizontal="center" vertical="center" wrapText="1"/>
    </xf>
    <xf numFmtId="4" fontId="25" fillId="0" borderId="11" xfId="0" applyNumberFormat="1" applyFont="1" applyFill="1" applyBorder="1" applyAlignment="1">
      <alignment horizontal="center" vertical="center" wrapText="1"/>
    </xf>
    <xf numFmtId="44" fontId="25" fillId="0" borderId="11" xfId="0" applyNumberFormat="1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left" vertical="center" wrapText="1"/>
    </xf>
    <xf numFmtId="4" fontId="5" fillId="7" borderId="11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 wrapText="1"/>
    </xf>
    <xf numFmtId="4" fontId="5" fillId="0" borderId="11" xfId="0" applyNumberFormat="1" applyFont="1" applyBorder="1" applyAlignment="1">
      <alignment horizontal="center" vertical="center" wrapText="1"/>
    </xf>
    <xf numFmtId="44" fontId="5" fillId="7" borderId="11" xfId="5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center" vertical="center" wrapText="1"/>
    </xf>
    <xf numFmtId="4" fontId="5" fillId="3" borderId="11" xfId="0" applyNumberFormat="1" applyFont="1" applyFill="1" applyBorder="1" applyAlignment="1">
      <alignment horizontal="center" vertical="center" wrapText="1"/>
    </xf>
    <xf numFmtId="44" fontId="5" fillId="3" borderId="11" xfId="0" applyNumberFormat="1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left" vertical="center" wrapText="1"/>
    </xf>
    <xf numFmtId="0" fontId="6" fillId="3" borderId="26" xfId="0" applyFont="1" applyFill="1" applyBorder="1" applyAlignment="1">
      <alignment horizontal="center" vertical="center" wrapText="1"/>
    </xf>
    <xf numFmtId="4" fontId="6" fillId="3" borderId="26" xfId="0" applyNumberFormat="1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right" vertical="center"/>
    </xf>
    <xf numFmtId="44" fontId="6" fillId="3" borderId="11" xfId="0" applyNumberFormat="1" applyFont="1" applyFill="1" applyBorder="1" applyAlignment="1">
      <alignment horizontal="center" vertical="center" wrapText="1"/>
    </xf>
    <xf numFmtId="44" fontId="5" fillId="0" borderId="11" xfId="5" applyNumberFormat="1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8" fillId="0" borderId="1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 vertical="center"/>
    </xf>
    <xf numFmtId="0" fontId="20" fillId="3" borderId="11" xfId="0" applyFont="1" applyFill="1" applyBorder="1"/>
    <xf numFmtId="0" fontId="20" fillId="7" borderId="11" xfId="0" applyFont="1" applyFill="1" applyBorder="1" applyAlignment="1">
      <alignment horizontal="left"/>
    </xf>
    <xf numFmtId="0" fontId="20" fillId="7" borderId="11" xfId="0" applyFont="1" applyFill="1" applyBorder="1"/>
    <xf numFmtId="0" fontId="20" fillId="0" borderId="11" xfId="0" applyFont="1" applyBorder="1" applyAlignment="1">
      <alignment horizontal="left" vertical="center"/>
    </xf>
    <xf numFmtId="0" fontId="20" fillId="0" borderId="11" xfId="0" applyFont="1" applyBorder="1" applyAlignment="1">
      <alignment horizontal="center" vertical="center"/>
    </xf>
    <xf numFmtId="0" fontId="20" fillId="0" borderId="11" xfId="0" applyFont="1" applyBorder="1" applyAlignment="1">
      <alignment horizontal="left" vertical="center" wrapText="1"/>
    </xf>
    <xf numFmtId="0" fontId="20" fillId="3" borderId="11" xfId="0" applyFont="1" applyFill="1" applyBorder="1" applyAlignment="1">
      <alignment horizontal="left" vertical="center"/>
    </xf>
    <xf numFmtId="0" fontId="20" fillId="3" borderId="11" xfId="0" applyFont="1" applyFill="1" applyBorder="1" applyAlignment="1">
      <alignment horizontal="left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 wrapText="1"/>
    </xf>
    <xf numFmtId="0" fontId="20" fillId="0" borderId="0" xfId="0" applyFont="1"/>
    <xf numFmtId="0" fontId="20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left" vertical="center" wrapText="1"/>
    </xf>
    <xf numFmtId="0" fontId="20" fillId="3" borderId="11" xfId="0" applyFont="1" applyFill="1" applyBorder="1" applyAlignment="1">
      <alignment vertical="center"/>
    </xf>
    <xf numFmtId="0" fontId="20" fillId="7" borderId="11" xfId="0" applyFont="1" applyFill="1" applyBorder="1" applyAlignment="1"/>
    <xf numFmtId="2" fontId="20" fillId="0" borderId="11" xfId="0" applyNumberFormat="1" applyFont="1" applyBorder="1" applyAlignment="1">
      <alignment vertical="center"/>
    </xf>
    <xf numFmtId="2" fontId="20" fillId="0" borderId="0" xfId="0" applyNumberFormat="1" applyFont="1" applyAlignment="1"/>
    <xf numFmtId="2" fontId="20" fillId="0" borderId="0" xfId="0" applyNumberFormat="1" applyFont="1" applyBorder="1" applyAlignment="1">
      <alignment vertical="center"/>
    </xf>
    <xf numFmtId="0" fontId="20" fillId="0" borderId="0" xfId="0" applyFont="1" applyAlignment="1"/>
    <xf numFmtId="0" fontId="19" fillId="0" borderId="0" xfId="0" applyFont="1" applyAlignment="1"/>
    <xf numFmtId="0" fontId="0" fillId="0" borderId="11" xfId="0" applyBorder="1" applyAlignment="1">
      <alignment horizontal="left" vertical="center" wrapText="1"/>
    </xf>
    <xf numFmtId="0" fontId="0" fillId="3" borderId="11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/>
    </xf>
    <xf numFmtId="0" fontId="0" fillId="2" borderId="11" xfId="0" applyFill="1" applyBorder="1" applyAlignment="1">
      <alignment horizontal="left" vertical="center" wrapText="1"/>
    </xf>
    <xf numFmtId="44" fontId="0" fillId="0" borderId="11" xfId="5" applyFont="1" applyBorder="1" applyAlignment="1">
      <alignment horizontal="center" vertical="center"/>
    </xf>
    <xf numFmtId="44" fontId="0" fillId="2" borderId="11" xfId="0" applyNumberFormat="1" applyFill="1" applyBorder="1" applyAlignment="1">
      <alignment horizontal="center" vertical="center"/>
    </xf>
    <xf numFmtId="0" fontId="0" fillId="2" borderId="11" xfId="0" applyFill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2" fontId="20" fillId="0" borderId="11" xfId="0" applyNumberFormat="1" applyFont="1" applyBorder="1" applyAlignment="1"/>
    <xf numFmtId="0" fontId="20" fillId="0" borderId="11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0" fillId="0" borderId="11" xfId="0" applyFont="1" applyBorder="1" applyAlignment="1"/>
    <xf numFmtId="0" fontId="5" fillId="7" borderId="1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0" fillId="0" borderId="0" xfId="0" applyNumberFormat="1"/>
    <xf numFmtId="0" fontId="20" fillId="0" borderId="0" xfId="0" applyFont="1" applyBorder="1" applyAlignment="1">
      <alignment horizontal="right" vertical="center" wrapText="1"/>
    </xf>
    <xf numFmtId="0" fontId="0" fillId="0" borderId="1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20" fillId="0" borderId="0" xfId="0" applyFont="1" applyAlignment="1">
      <alignment horizontal="right" wrapText="1"/>
    </xf>
    <xf numFmtId="0" fontId="20" fillId="0" borderId="0" xfId="0" applyFont="1" applyAlignment="1">
      <alignment horizontal="right"/>
    </xf>
    <xf numFmtId="0" fontId="5" fillId="7" borderId="11" xfId="0" applyFont="1" applyFill="1" applyBorder="1" applyAlignment="1">
      <alignment horizontal="center" vertical="center" wrapText="1"/>
    </xf>
    <xf numFmtId="0" fontId="24" fillId="0" borderId="25" xfId="0" applyFont="1" applyBorder="1" applyAlignment="1">
      <alignment horizontal="left" vertical="center"/>
    </xf>
    <xf numFmtId="0" fontId="24" fillId="0" borderId="11" xfId="0" applyFont="1" applyBorder="1" applyAlignment="1">
      <alignment horizontal="center" vertical="center"/>
    </xf>
    <xf numFmtId="0" fontId="27" fillId="0" borderId="25" xfId="0" applyFont="1" applyBorder="1"/>
    <xf numFmtId="0" fontId="0" fillId="0" borderId="26" xfId="0" applyBorder="1"/>
    <xf numFmtId="0" fontId="0" fillId="0" borderId="27" xfId="0" applyBorder="1"/>
    <xf numFmtId="0" fontId="0" fillId="0" borderId="12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vertical="center"/>
    </xf>
    <xf numFmtId="1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2" fontId="0" fillId="0" borderId="26" xfId="0" applyNumberFormat="1" applyBorder="1" applyAlignment="1">
      <alignment horizontal="center" vertical="center"/>
    </xf>
    <xf numFmtId="0" fontId="0" fillId="0" borderId="29" xfId="0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/>
    </xf>
    <xf numFmtId="165" fontId="0" fillId="0" borderId="11" xfId="0" applyNumberFormat="1" applyBorder="1" applyAlignment="1">
      <alignment horizontal="center" vertical="center"/>
    </xf>
    <xf numFmtId="0" fontId="5" fillId="7" borderId="11" xfId="0" applyFont="1" applyFill="1" applyBorder="1" applyAlignment="1">
      <alignment horizontal="center" vertical="center" wrapText="1"/>
    </xf>
    <xf numFmtId="166" fontId="20" fillId="0" borderId="0" xfId="0" applyNumberFormat="1" applyFont="1" applyBorder="1" applyAlignment="1">
      <alignment vertical="center"/>
    </xf>
    <xf numFmtId="167" fontId="20" fillId="0" borderId="0" xfId="0" applyNumberFormat="1" applyFont="1" applyBorder="1" applyAlignment="1">
      <alignment vertical="center"/>
    </xf>
    <xf numFmtId="0" fontId="5" fillId="0" borderId="25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left" vertical="center" wrapText="1"/>
    </xf>
    <xf numFmtId="4" fontId="5" fillId="0" borderId="26" xfId="0" applyNumberFormat="1" applyFont="1" applyBorder="1" applyAlignment="1">
      <alignment horizontal="center" vertical="center" wrapText="1"/>
    </xf>
    <xf numFmtId="44" fontId="5" fillId="0" borderId="26" xfId="5" applyFont="1" applyBorder="1" applyAlignment="1">
      <alignment horizontal="center" vertical="center" wrapText="1"/>
    </xf>
    <xf numFmtId="44" fontId="5" fillId="0" borderId="27" xfId="5" applyNumberFormat="1" applyFont="1" applyBorder="1" applyAlignment="1">
      <alignment horizontal="center" vertical="center" wrapText="1"/>
    </xf>
    <xf numFmtId="44" fontId="5" fillId="0" borderId="26" xfId="5" applyNumberFormat="1" applyFont="1" applyBorder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19" fillId="0" borderId="16" xfId="0" applyFont="1" applyBorder="1"/>
    <xf numFmtId="0" fontId="0" fillId="0" borderId="0" xfId="0" applyAlignment="1">
      <alignment horizontal="center"/>
    </xf>
    <xf numFmtId="0" fontId="0" fillId="0" borderId="16" xfId="0" applyBorder="1"/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4" fontId="2" fillId="0" borderId="0" xfId="0" applyNumberFormat="1" applyFont="1" applyAlignment="1" applyProtection="1">
      <alignment horizontal="right"/>
      <protection locked="0"/>
    </xf>
    <xf numFmtId="4" fontId="2" fillId="0" borderId="0" xfId="0" applyNumberFormat="1" applyFont="1" applyProtection="1">
      <protection locked="0"/>
    </xf>
    <xf numFmtId="44" fontId="5" fillId="0" borderId="11" xfId="5" applyNumberFormat="1" applyFont="1" applyBorder="1" applyAlignment="1" applyProtection="1">
      <alignment horizontal="center" vertical="center" wrapText="1"/>
      <protection locked="0"/>
    </xf>
    <xf numFmtId="44" fontId="5" fillId="7" borderId="11" xfId="5" applyFont="1" applyFill="1" applyBorder="1" applyAlignment="1" applyProtection="1">
      <alignment horizontal="center" vertical="center" wrapText="1"/>
      <protection locked="0"/>
    </xf>
    <xf numFmtId="44" fontId="5" fillId="0" borderId="11" xfId="5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left"/>
      <protection locked="0"/>
    </xf>
    <xf numFmtId="0" fontId="2" fillId="0" borderId="13" xfId="0" applyFont="1" applyBorder="1" applyAlignment="1" applyProtection="1">
      <alignment wrapText="1"/>
      <protection locked="0"/>
    </xf>
    <xf numFmtId="0" fontId="2" fillId="0" borderId="13" xfId="0" applyFont="1" applyBorder="1" applyProtection="1">
      <protection locked="0"/>
    </xf>
    <xf numFmtId="0" fontId="2" fillId="0" borderId="23" xfId="0" applyFon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wrapText="1"/>
      <protection locked="0"/>
    </xf>
    <xf numFmtId="0" fontId="2" fillId="0" borderId="0" xfId="0" applyFont="1" applyBorder="1" applyProtection="1">
      <protection locked="0"/>
    </xf>
    <xf numFmtId="0" fontId="2" fillId="0" borderId="15" xfId="0" applyFont="1" applyBorder="1" applyAlignment="1" applyProtection="1">
      <alignment horizontal="left"/>
      <protection locked="0"/>
    </xf>
    <xf numFmtId="0" fontId="2" fillId="0" borderId="16" xfId="0" applyFont="1" applyBorder="1" applyAlignment="1" applyProtection="1">
      <alignment wrapText="1"/>
      <protection locked="0"/>
    </xf>
    <xf numFmtId="0" fontId="2" fillId="0" borderId="16" xfId="0" applyFont="1" applyBorder="1" applyProtection="1">
      <protection locked="0"/>
    </xf>
    <xf numFmtId="0" fontId="25" fillId="4" borderId="25" xfId="0" applyFont="1" applyFill="1" applyBorder="1" applyAlignment="1" applyProtection="1">
      <alignment horizontal="left" vertical="center"/>
      <protection locked="0"/>
    </xf>
    <xf numFmtId="0" fontId="25" fillId="4" borderId="26" xfId="0" applyFont="1" applyFill="1" applyBorder="1" applyAlignment="1" applyProtection="1">
      <alignment horizontal="center" vertical="center" wrapText="1"/>
      <protection locked="0"/>
    </xf>
    <xf numFmtId="0" fontId="25" fillId="4" borderId="26" xfId="0" applyFont="1" applyFill="1" applyBorder="1" applyAlignment="1" applyProtection="1">
      <alignment horizontal="left" vertical="center"/>
      <protection locked="0"/>
    </xf>
    <xf numFmtId="0" fontId="25" fillId="4" borderId="26" xfId="0" applyFont="1" applyFill="1" applyBorder="1" applyAlignment="1" applyProtection="1">
      <alignment horizontal="center" vertical="center"/>
      <protection locked="0"/>
    </xf>
    <xf numFmtId="0" fontId="25" fillId="4" borderId="27" xfId="0" applyFont="1" applyFill="1" applyBorder="1" applyAlignment="1" applyProtection="1">
      <alignment horizontal="center" vertical="center"/>
      <protection locked="0"/>
    </xf>
    <xf numFmtId="10" fontId="25" fillId="6" borderId="26" xfId="0" applyNumberFormat="1" applyFont="1" applyFill="1" applyBorder="1" applyAlignment="1" applyProtection="1">
      <alignment horizontal="center" vertical="center" wrapText="1"/>
      <protection locked="0"/>
    </xf>
    <xf numFmtId="10" fontId="25" fillId="4" borderId="26" xfId="0" applyNumberFormat="1" applyFont="1" applyFill="1" applyBorder="1" applyAlignment="1" applyProtection="1">
      <alignment horizontal="left" vertical="center"/>
      <protection locked="0"/>
    </xf>
    <xf numFmtId="0" fontId="31" fillId="4" borderId="25" xfId="0" applyFont="1" applyFill="1" applyBorder="1" applyAlignment="1" applyProtection="1">
      <alignment horizontal="left" vertical="center"/>
      <protection locked="0"/>
    </xf>
    <xf numFmtId="0" fontId="5" fillId="0" borderId="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left" vertical="center"/>
    </xf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right"/>
    </xf>
    <xf numFmtId="0" fontId="5" fillId="0" borderId="0" xfId="0" applyFont="1" applyAlignment="1">
      <alignment horizontal="left" vertical="center" wrapText="1"/>
    </xf>
    <xf numFmtId="0" fontId="5" fillId="0" borderId="20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2" fontId="24" fillId="0" borderId="25" xfId="0" applyNumberFormat="1" applyFont="1" applyBorder="1" applyAlignment="1">
      <alignment horizontal="center" vertical="center"/>
    </xf>
    <xf numFmtId="2" fontId="24" fillId="0" borderId="27" xfId="0" applyNumberFormat="1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2" fontId="0" fillId="0" borderId="25" xfId="0" applyNumberFormat="1" applyBorder="1" applyAlignment="1">
      <alignment horizontal="center" vertical="center"/>
    </xf>
    <xf numFmtId="2" fontId="0" fillId="0" borderId="27" xfId="0" applyNumberForma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  <xf numFmtId="0" fontId="22" fillId="0" borderId="11" xfId="0" applyFont="1" applyBorder="1" applyAlignment="1">
      <alignment horizontal="left" vertical="center"/>
    </xf>
    <xf numFmtId="0" fontId="17" fillId="0" borderId="12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7" fillId="0" borderId="23" xfId="0" applyFont="1" applyBorder="1" applyAlignment="1">
      <alignment horizontal="center"/>
    </xf>
    <xf numFmtId="0" fontId="17" fillId="0" borderId="24" xfId="0" applyFont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20" fillId="0" borderId="23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24" xfId="0" applyFont="1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20" fillId="0" borderId="16" xfId="0" applyFont="1" applyBorder="1" applyAlignment="1">
      <alignment horizontal="center"/>
    </xf>
    <xf numFmtId="0" fontId="20" fillId="0" borderId="17" xfId="0" applyFont="1" applyBorder="1" applyAlignment="1">
      <alignment horizontal="center"/>
    </xf>
    <xf numFmtId="0" fontId="25" fillId="2" borderId="25" xfId="0" applyFont="1" applyFill="1" applyBorder="1" applyAlignment="1">
      <alignment horizontal="center" vertical="center"/>
    </xf>
    <xf numFmtId="0" fontId="25" fillId="2" borderId="26" xfId="0" applyFont="1" applyFill="1" applyBorder="1" applyAlignment="1">
      <alignment horizontal="center" vertical="center"/>
    </xf>
    <xf numFmtId="0" fontId="25" fillId="2" borderId="27" xfId="0" applyFont="1" applyFill="1" applyBorder="1" applyAlignment="1">
      <alignment horizontal="center" vertical="center"/>
    </xf>
    <xf numFmtId="0" fontId="4" fillId="0" borderId="13" xfId="0" applyFont="1" applyBorder="1" applyAlignment="1" applyProtection="1">
      <alignment horizontal="center" wrapText="1"/>
      <protection locked="0"/>
    </xf>
    <xf numFmtId="0" fontId="4" fillId="0" borderId="14" xfId="0" applyFont="1" applyBorder="1" applyAlignment="1" applyProtection="1">
      <alignment horizontal="center" wrapText="1"/>
      <protection locked="0"/>
    </xf>
    <xf numFmtId="0" fontId="30" fillId="0" borderId="0" xfId="0" applyFont="1" applyBorder="1" applyAlignment="1" applyProtection="1">
      <alignment horizontal="center" wrapText="1"/>
      <protection locked="0"/>
    </xf>
    <xf numFmtId="0" fontId="30" fillId="0" borderId="24" xfId="0" applyFont="1" applyBorder="1" applyAlignment="1" applyProtection="1">
      <alignment horizontal="center" wrapText="1"/>
      <protection locked="0"/>
    </xf>
    <xf numFmtId="0" fontId="5" fillId="0" borderId="0" xfId="0" applyFont="1" applyBorder="1" applyAlignment="1" applyProtection="1">
      <alignment horizontal="center" wrapText="1"/>
      <protection locked="0"/>
    </xf>
    <xf numFmtId="0" fontId="5" fillId="0" borderId="24" xfId="0" applyFont="1" applyBorder="1" applyAlignment="1" applyProtection="1">
      <alignment horizontal="center" wrapText="1"/>
      <protection locked="0"/>
    </xf>
    <xf numFmtId="0" fontId="5" fillId="0" borderId="16" xfId="0" applyFont="1" applyBorder="1" applyAlignment="1" applyProtection="1">
      <alignment horizontal="center" wrapText="1"/>
      <protection locked="0"/>
    </xf>
    <xf numFmtId="0" fontId="5" fillId="0" borderId="17" xfId="0" applyFont="1" applyBorder="1" applyAlignment="1" applyProtection="1">
      <alignment horizontal="center" wrapText="1"/>
      <protection locked="0"/>
    </xf>
    <xf numFmtId="4" fontId="16" fillId="0" borderId="0" xfId="0" applyNumberFormat="1" applyFont="1" applyAlignment="1" applyProtection="1">
      <alignment horizontal="center"/>
      <protection locked="0"/>
    </xf>
    <xf numFmtId="164" fontId="2" fillId="0" borderId="0" xfId="0" applyNumberFormat="1" applyFont="1" applyAlignment="1" applyProtection="1">
      <alignment horizontal="left" wrapText="1"/>
      <protection locked="0"/>
    </xf>
    <xf numFmtId="4" fontId="14" fillId="0" borderId="16" xfId="0" applyNumberFormat="1" applyFont="1" applyBorder="1" applyAlignment="1" applyProtection="1">
      <alignment horizontal="center"/>
      <protection locked="0"/>
    </xf>
    <xf numFmtId="0" fontId="5" fillId="0" borderId="28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44" fontId="5" fillId="0" borderId="28" xfId="5" applyFont="1" applyFill="1" applyBorder="1" applyAlignment="1">
      <alignment horizontal="center" vertical="center"/>
    </xf>
    <xf numFmtId="44" fontId="5" fillId="0" borderId="30" xfId="5" applyFont="1" applyFill="1" applyBorder="1" applyAlignment="1">
      <alignment horizontal="center" vertical="center"/>
    </xf>
    <xf numFmtId="44" fontId="5" fillId="0" borderId="29" xfId="5" applyFont="1" applyFill="1" applyBorder="1" applyAlignment="1">
      <alignment horizontal="center" vertical="center"/>
    </xf>
    <xf numFmtId="0" fontId="16" fillId="0" borderId="13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164" fontId="5" fillId="0" borderId="0" xfId="0" applyNumberFormat="1" applyFont="1" applyAlignment="1">
      <alignment horizontal="right" wrapText="1"/>
    </xf>
    <xf numFmtId="164" fontId="5" fillId="0" borderId="0" xfId="0" applyNumberFormat="1" applyFont="1" applyAlignment="1">
      <alignment horizontal="left"/>
    </xf>
    <xf numFmtId="0" fontId="5" fillId="3" borderId="11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left" vertical="center"/>
    </xf>
    <xf numFmtId="0" fontId="5" fillId="0" borderId="26" xfId="0" applyFont="1" applyFill="1" applyBorder="1" applyAlignment="1">
      <alignment horizontal="left" vertical="center"/>
    </xf>
    <xf numFmtId="0" fontId="5" fillId="0" borderId="27" xfId="0" applyFont="1" applyFill="1" applyBorder="1" applyAlignment="1">
      <alignment horizontal="left" vertical="center"/>
    </xf>
    <xf numFmtId="0" fontId="5" fillId="7" borderId="11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/>
    </xf>
    <xf numFmtId="2" fontId="5" fillId="7" borderId="11" xfId="0" applyNumberFormat="1" applyFont="1" applyFill="1" applyBorder="1" applyAlignment="1">
      <alignment horizontal="center" vertical="center" wrapText="1"/>
    </xf>
    <xf numFmtId="2" fontId="5" fillId="7" borderId="28" xfId="0" applyNumberFormat="1" applyFont="1" applyFill="1" applyBorder="1" applyAlignment="1">
      <alignment horizontal="center" vertical="center" wrapText="1"/>
    </xf>
    <xf numFmtId="2" fontId="5" fillId="7" borderId="29" xfId="0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6" xfId="0" applyFont="1" applyBorder="1" applyAlignment="1">
      <alignment horizontal="center"/>
    </xf>
  </cellXfs>
  <cellStyles count="6">
    <cellStyle name="Moeda" xfId="5" builtinId="4"/>
    <cellStyle name="Normal" xfId="0" builtinId="0"/>
    <cellStyle name="Normal 2" xfId="4"/>
    <cellStyle name="Normal 3" xfId="3"/>
    <cellStyle name="Porcentagem" xfId="1" builtinId="5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209840</xdr:colOff>
      <xdr:row>0</xdr:row>
      <xdr:rowOff>77933</xdr:rowOff>
    </xdr:from>
    <xdr:to>
      <xdr:col>2</xdr:col>
      <xdr:colOff>684067</xdr:colOff>
      <xdr:row>4</xdr:row>
      <xdr:rowOff>43297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397DA87-78D1-404E-8DF4-812687CEB2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690" y="77933"/>
          <a:ext cx="902852" cy="7940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67916</xdr:rowOff>
    </xdr:from>
    <xdr:to>
      <xdr:col>1</xdr:col>
      <xdr:colOff>476250</xdr:colOff>
      <xdr:row>4</xdr:row>
      <xdr:rowOff>153642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8397DA87-78D1-404E-8DF4-812687CEB2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67916"/>
          <a:ext cx="1000125" cy="914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1048576" zoomScale="85" zoomScaleNormal="85" workbookViewId="0">
      <selection activeCell="A2" sqref="A1:XFD1048576"/>
    </sheetView>
  </sheetViews>
  <sheetFormatPr defaultColWidth="0" defaultRowHeight="15" zeroHeight="1" x14ac:dyDescent="0.25"/>
  <cols>
    <col min="1" max="1" width="4.85546875" style="1" customWidth="1"/>
    <col min="2" max="2" width="6.42578125" style="11" hidden="1" customWidth="1"/>
    <col min="3" max="3" width="12.42578125" style="11" hidden="1" customWidth="1"/>
    <col min="4" max="4" width="3.42578125" style="11" hidden="1" customWidth="1"/>
    <col min="5" max="5" width="50" style="11" hidden="1" customWidth="1"/>
    <col min="6" max="6" width="26.5703125" style="11" hidden="1" customWidth="1"/>
    <col min="7" max="7" width="0" style="1" hidden="1" customWidth="1"/>
    <col min="8" max="16384" width="9.140625" style="1" hidden="1"/>
  </cols>
  <sheetData>
    <row r="1" spans="2:6" ht="20.25" hidden="1" x14ac:dyDescent="0.3">
      <c r="B1" s="247"/>
      <c r="C1" s="247"/>
      <c r="D1" s="248" t="s">
        <v>7</v>
      </c>
      <c r="E1" s="248"/>
      <c r="F1" s="248"/>
    </row>
    <row r="2" spans="2:6" hidden="1" x14ac:dyDescent="0.25">
      <c r="B2" s="247"/>
      <c r="C2" s="247"/>
      <c r="D2" s="249" t="s">
        <v>8</v>
      </c>
      <c r="E2" s="249"/>
      <c r="F2" s="249"/>
    </row>
    <row r="3" spans="2:6" hidden="1" x14ac:dyDescent="0.25">
      <c r="B3" s="247"/>
      <c r="C3" s="247"/>
      <c r="D3" s="249" t="s">
        <v>9</v>
      </c>
      <c r="E3" s="249"/>
      <c r="F3" s="249"/>
    </row>
    <row r="4" spans="2:6" hidden="1" x14ac:dyDescent="0.25">
      <c r="B4" s="247"/>
      <c r="C4" s="247"/>
      <c r="D4" s="249" t="s">
        <v>10</v>
      </c>
      <c r="E4" s="249"/>
      <c r="F4" s="249"/>
    </row>
    <row r="5" spans="2:6" hidden="1" x14ac:dyDescent="0.25">
      <c r="B5" s="247"/>
      <c r="C5" s="247"/>
      <c r="D5" s="250" t="s">
        <v>11</v>
      </c>
      <c r="E5" s="250"/>
      <c r="F5" s="250"/>
    </row>
    <row r="6" spans="2:6" ht="15.75" hidden="1" x14ac:dyDescent="0.25">
      <c r="B6" s="251" t="s">
        <v>19</v>
      </c>
      <c r="C6" s="251"/>
      <c r="D6" s="251"/>
      <c r="E6" s="251"/>
      <c r="F6" s="251"/>
    </row>
    <row r="7" spans="2:6" hidden="1" x14ac:dyDescent="0.25">
      <c r="B7" s="252" t="s">
        <v>597</v>
      </c>
      <c r="C7" s="252"/>
      <c r="D7" s="252"/>
      <c r="E7" s="252"/>
      <c r="F7" s="252"/>
    </row>
    <row r="8" spans="2:6" hidden="1" x14ac:dyDescent="0.25">
      <c r="B8" s="252" t="s">
        <v>139</v>
      </c>
      <c r="C8" s="252"/>
      <c r="D8" s="252"/>
      <c r="E8" s="252"/>
      <c r="F8" s="252"/>
    </row>
    <row r="9" spans="2:6" hidden="1" x14ac:dyDescent="0.25">
      <c r="B9" s="253" t="s">
        <v>20</v>
      </c>
      <c r="C9" s="253"/>
      <c r="D9" s="253"/>
      <c r="E9" s="5" t="s">
        <v>21</v>
      </c>
      <c r="F9" s="5" t="s">
        <v>22</v>
      </c>
    </row>
    <row r="10" spans="2:6" hidden="1" x14ac:dyDescent="0.25">
      <c r="B10" s="247" t="s">
        <v>23</v>
      </c>
      <c r="C10" s="247"/>
      <c r="D10" s="247"/>
      <c r="E10" s="6" t="s">
        <v>24</v>
      </c>
      <c r="F10" s="7">
        <v>4.0099999999999997E-2</v>
      </c>
    </row>
    <row r="11" spans="2:6" hidden="1" x14ac:dyDescent="0.25">
      <c r="B11" s="247" t="s">
        <v>25</v>
      </c>
      <c r="C11" s="247"/>
      <c r="D11" s="247"/>
      <c r="E11" s="6" t="s">
        <v>26</v>
      </c>
      <c r="F11" s="7">
        <v>3.0000000000000001E-3</v>
      </c>
    </row>
    <row r="12" spans="2:6" hidden="1" x14ac:dyDescent="0.25">
      <c r="B12" s="247" t="s">
        <v>27</v>
      </c>
      <c r="C12" s="247"/>
      <c r="D12" s="247"/>
      <c r="E12" s="6" t="s">
        <v>28</v>
      </c>
      <c r="F12" s="7">
        <v>5.5999999999999999E-3</v>
      </c>
    </row>
    <row r="13" spans="2:6" hidden="1" x14ac:dyDescent="0.25">
      <c r="B13" s="247" t="s">
        <v>29</v>
      </c>
      <c r="C13" s="247"/>
      <c r="D13" s="247"/>
      <c r="E13" s="6" t="s">
        <v>30</v>
      </c>
      <c r="F13" s="7">
        <v>1E-3</v>
      </c>
    </row>
    <row r="14" spans="2:6" hidden="1" x14ac:dyDescent="0.25">
      <c r="B14" s="247" t="s">
        <v>31</v>
      </c>
      <c r="C14" s="247"/>
      <c r="D14" s="247"/>
      <c r="E14" s="6" t="s">
        <v>32</v>
      </c>
      <c r="F14" s="7">
        <v>1.11E-2</v>
      </c>
    </row>
    <row r="15" spans="2:6" hidden="1" x14ac:dyDescent="0.25">
      <c r="B15" s="247" t="s">
        <v>33</v>
      </c>
      <c r="C15" s="247"/>
      <c r="D15" s="247"/>
      <c r="E15" s="6" t="s">
        <v>34</v>
      </c>
      <c r="F15" s="7">
        <v>6.6400000000000001E-2</v>
      </c>
    </row>
    <row r="16" spans="2:6" hidden="1" x14ac:dyDescent="0.25">
      <c r="B16" s="247" t="s">
        <v>35</v>
      </c>
      <c r="C16" s="247"/>
      <c r="D16" s="247"/>
      <c r="E16" s="6" t="s">
        <v>36</v>
      </c>
      <c r="F16" s="7">
        <f>F17+F18+F19+F20</f>
        <v>8.6499999999999994E-2</v>
      </c>
    </row>
    <row r="17" spans="2:7" hidden="1" x14ac:dyDescent="0.25">
      <c r="B17" s="247"/>
      <c r="C17" s="247"/>
      <c r="D17" s="247"/>
      <c r="E17" s="8" t="s">
        <v>37</v>
      </c>
      <c r="F17" s="7">
        <v>6.4999999999999997E-3</v>
      </c>
    </row>
    <row r="18" spans="2:7" hidden="1" x14ac:dyDescent="0.25">
      <c r="B18" s="247"/>
      <c r="C18" s="247"/>
      <c r="D18" s="247"/>
      <c r="E18" s="8" t="s">
        <v>38</v>
      </c>
      <c r="F18" s="7">
        <v>0.03</v>
      </c>
    </row>
    <row r="19" spans="2:7" hidden="1" x14ac:dyDescent="0.25">
      <c r="B19" s="247"/>
      <c r="C19" s="247"/>
      <c r="D19" s="247"/>
      <c r="E19" s="8" t="s">
        <v>39</v>
      </c>
      <c r="F19" s="7">
        <v>0.05</v>
      </c>
    </row>
    <row r="20" spans="2:7" hidden="1" x14ac:dyDescent="0.25">
      <c r="B20" s="247"/>
      <c r="C20" s="247"/>
      <c r="D20" s="247"/>
      <c r="E20" s="9" t="s">
        <v>40</v>
      </c>
      <c r="F20" s="7">
        <v>0</v>
      </c>
    </row>
    <row r="21" spans="2:7" hidden="1" x14ac:dyDescent="0.25">
      <c r="B21" s="254" t="s">
        <v>41</v>
      </c>
      <c r="C21" s="254"/>
      <c r="D21" s="254"/>
      <c r="E21" s="254"/>
      <c r="F21" s="10">
        <f>(((1+F10+F11+F12+F13)*(1+F14)*(1+F15))/(1-F16))-1</f>
        <v>0.23899881870607542</v>
      </c>
    </row>
    <row r="22" spans="2:7" hidden="1" x14ac:dyDescent="0.25">
      <c r="F22" s="12"/>
    </row>
    <row r="23" spans="2:7" ht="55.15" hidden="1" customHeight="1" x14ac:dyDescent="0.25">
      <c r="D23" s="255" t="s">
        <v>42</v>
      </c>
      <c r="E23" s="255"/>
      <c r="F23" s="255"/>
    </row>
    <row r="24" spans="2:7" hidden="1" x14ac:dyDescent="0.25"/>
    <row r="25" spans="2:7" hidden="1" x14ac:dyDescent="0.25">
      <c r="B25" s="256" t="s">
        <v>43</v>
      </c>
      <c r="C25" s="257"/>
      <c r="D25" s="257"/>
      <c r="E25" s="257"/>
      <c r="F25" s="258"/>
    </row>
    <row r="26" spans="2:7" ht="45.75" hidden="1" x14ac:dyDescent="0.25">
      <c r="B26" s="13"/>
      <c r="C26" s="14"/>
      <c r="D26" s="15"/>
      <c r="E26" s="15"/>
      <c r="F26" s="16"/>
    </row>
    <row r="27" spans="2:7" ht="18.75" hidden="1" x14ac:dyDescent="0.3">
      <c r="B27" s="17"/>
      <c r="C27" s="18" t="s">
        <v>44</v>
      </c>
      <c r="D27" s="19"/>
      <c r="E27" s="20" t="s">
        <v>45</v>
      </c>
      <c r="F27" s="21">
        <v>-1</v>
      </c>
      <c r="G27" s="22"/>
    </row>
    <row r="28" spans="2:7" ht="45.75" hidden="1" x14ac:dyDescent="0.25">
      <c r="B28" s="17"/>
      <c r="C28" s="23"/>
      <c r="D28" s="24"/>
      <c r="E28" s="25" t="s">
        <v>46</v>
      </c>
      <c r="F28" s="26"/>
    </row>
    <row r="29" spans="2:7" ht="45.75" hidden="1" x14ac:dyDescent="0.25">
      <c r="B29" s="27"/>
      <c r="C29" s="28"/>
      <c r="D29" s="29"/>
      <c r="E29" s="29"/>
      <c r="F29" s="30"/>
    </row>
    <row r="30" spans="2:7" hidden="1" x14ac:dyDescent="0.25"/>
    <row r="31" spans="2:7" hidden="1" x14ac:dyDescent="0.25"/>
    <row r="32" spans="2:7" hidden="1" x14ac:dyDescent="0.25"/>
    <row r="33" spans="5:5" hidden="1" x14ac:dyDescent="0.25"/>
    <row r="34" spans="5:5" hidden="1" x14ac:dyDescent="0.25">
      <c r="E34" s="31"/>
    </row>
    <row r="35" spans="5:5" hidden="1" x14ac:dyDescent="0.25">
      <c r="E35" s="32" t="s">
        <v>81</v>
      </c>
    </row>
    <row r="36" spans="5:5" hidden="1" x14ac:dyDescent="0.25">
      <c r="E36" s="32" t="s">
        <v>47</v>
      </c>
    </row>
    <row r="37" spans="5:5" hidden="1" x14ac:dyDescent="0.25">
      <c r="E37" s="32" t="s">
        <v>48</v>
      </c>
    </row>
    <row r="38" spans="5:5" hidden="1" x14ac:dyDescent="0.25">
      <c r="E38" s="32" t="s">
        <v>598</v>
      </c>
    </row>
  </sheetData>
  <sheetProtection algorithmName="SHA-512" hashValue="RfeMUd+1EW71d0vMP627TWYZnCxsP+Fq/BFV1GlsRARy1z94astqEm61r4ubpTAuO/KGRCXmXq+frJ+5ytAHnw==" saltValue="Ffe1uypCRF6oGdO00V7UVg==" spinCount="100000" sheet="1" objects="1" scenarios="1" selectLockedCells="1" selectUnlockedCells="1"/>
  <protectedRanges>
    <protectedRange sqref="F10:F15 F17:F20" name="Intervalo1"/>
  </protectedRanges>
  <mergeCells count="21">
    <mergeCell ref="B21:E21"/>
    <mergeCell ref="D23:F23"/>
    <mergeCell ref="B25:F25"/>
    <mergeCell ref="B12:D12"/>
    <mergeCell ref="B13:D13"/>
    <mergeCell ref="B14:D14"/>
    <mergeCell ref="B15:D15"/>
    <mergeCell ref="B16:D16"/>
    <mergeCell ref="B17:D20"/>
    <mergeCell ref="B11:D11"/>
    <mergeCell ref="B1:C5"/>
    <mergeCell ref="D1:F1"/>
    <mergeCell ref="D2:F2"/>
    <mergeCell ref="D3:F3"/>
    <mergeCell ref="D4:F4"/>
    <mergeCell ref="D5:F5"/>
    <mergeCell ref="B6:F6"/>
    <mergeCell ref="B7:F7"/>
    <mergeCell ref="B8:F8"/>
    <mergeCell ref="B9:D9"/>
    <mergeCell ref="B10:D10"/>
  </mergeCells>
  <pageMargins left="0.51181102362204722" right="0.51181102362204722" top="0.78740157480314965" bottom="0.78740157480314965" header="0.31496062992125984" footer="0.31496062992125984"/>
  <pageSetup paperSize="9" scale="92" fitToHeight="0" orientation="portrait" r:id="rId1"/>
  <headerFooter>
    <oddFooter>&amp;CPágina &amp;P de &amp;N&amp;R&amp;D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topLeftCell="A22" workbookViewId="0">
      <selection activeCell="D17" sqref="D17"/>
    </sheetView>
  </sheetViews>
  <sheetFormatPr defaultColWidth="0" defaultRowHeight="15" zeroHeight="1" x14ac:dyDescent="0.25"/>
  <cols>
    <col min="1" max="1" width="9.140625" customWidth="1"/>
    <col min="2" max="2" width="15.85546875" customWidth="1"/>
    <col min="3" max="3" width="9.7109375" bestFit="1" customWidth="1"/>
    <col min="4" max="4" width="72.28515625" customWidth="1"/>
    <col min="5" max="5" width="9.140625" bestFit="1" customWidth="1"/>
    <col min="6" max="6" width="8" bestFit="1" customWidth="1"/>
    <col min="7" max="7" width="12.140625" bestFit="1" customWidth="1"/>
    <col min="8" max="8" width="13.85546875" customWidth="1"/>
    <col min="9" max="9" width="12.140625" bestFit="1" customWidth="1"/>
    <col min="10" max="10" width="9.140625" customWidth="1"/>
    <col min="11" max="16384" width="9.140625" hidden="1"/>
  </cols>
  <sheetData>
    <row r="1" spans="1:9" ht="30" x14ac:dyDescent="0.25">
      <c r="A1" s="171" t="s">
        <v>0</v>
      </c>
      <c r="B1" s="171" t="s">
        <v>2</v>
      </c>
      <c r="C1" s="171" t="s">
        <v>1</v>
      </c>
      <c r="D1" s="172" t="s">
        <v>21</v>
      </c>
      <c r="E1" s="171" t="s">
        <v>14</v>
      </c>
      <c r="F1" s="171" t="s">
        <v>18</v>
      </c>
      <c r="G1" s="172" t="s">
        <v>178</v>
      </c>
      <c r="H1" s="172" t="s">
        <v>180</v>
      </c>
      <c r="I1" s="172" t="s">
        <v>179</v>
      </c>
    </row>
    <row r="2" spans="1:9" ht="30" x14ac:dyDescent="0.25">
      <c r="A2" s="177">
        <v>1</v>
      </c>
      <c r="B2" s="173" t="s">
        <v>176</v>
      </c>
      <c r="C2" s="173"/>
      <c r="D2" s="174" t="s">
        <v>190</v>
      </c>
      <c r="E2" s="173" t="s">
        <v>49</v>
      </c>
      <c r="F2" s="173"/>
      <c r="G2" s="173"/>
      <c r="H2" s="173"/>
      <c r="I2" s="176">
        <f>SUM(I3:I7)</f>
        <v>100.23</v>
      </c>
    </row>
    <row r="3" spans="1:9" x14ac:dyDescent="0.25">
      <c r="A3" s="178" t="s">
        <v>15</v>
      </c>
      <c r="B3" s="113" t="s">
        <v>168</v>
      </c>
      <c r="C3" s="113" t="s">
        <v>150</v>
      </c>
      <c r="D3" s="170" t="s">
        <v>169</v>
      </c>
      <c r="E3" s="113" t="s">
        <v>83</v>
      </c>
      <c r="F3" s="113">
        <v>0.6</v>
      </c>
      <c r="G3" s="175">
        <v>8.5299999999999994</v>
      </c>
      <c r="H3" s="175">
        <f>ROUND(G3*2.2823,2)</f>
        <v>19.47</v>
      </c>
      <c r="I3" s="175">
        <f>ROUND(H3*F3,2)</f>
        <v>11.68</v>
      </c>
    </row>
    <row r="4" spans="1:9" x14ac:dyDescent="0.25">
      <c r="A4" s="178" t="s">
        <v>16</v>
      </c>
      <c r="B4" s="113" t="s">
        <v>170</v>
      </c>
      <c r="C4" s="113" t="str">
        <f>C3</f>
        <v>CDHU-189</v>
      </c>
      <c r="D4" s="170" t="s">
        <v>171</v>
      </c>
      <c r="E4" s="113" t="s">
        <v>83</v>
      </c>
      <c r="F4" s="113">
        <v>0.3</v>
      </c>
      <c r="G4" s="175">
        <v>10.38</v>
      </c>
      <c r="H4" s="175">
        <f>ROUND(G4*2.2823,2)</f>
        <v>23.69</v>
      </c>
      <c r="I4" s="175">
        <f t="shared" ref="I4:I7" si="0">ROUND(H4*F4,2)</f>
        <v>7.11</v>
      </c>
    </row>
    <row r="5" spans="1:9" x14ac:dyDescent="0.25">
      <c r="A5" s="178" t="s">
        <v>97</v>
      </c>
      <c r="B5" s="113" t="s">
        <v>188</v>
      </c>
      <c r="C5" s="113" t="str">
        <f>C4</f>
        <v>CDHU-189</v>
      </c>
      <c r="D5" s="170" t="s">
        <v>189</v>
      </c>
      <c r="E5" s="113" t="s">
        <v>51</v>
      </c>
      <c r="F5" s="113">
        <v>0.06</v>
      </c>
      <c r="G5" s="175">
        <v>130.69999999999999</v>
      </c>
      <c r="H5" s="175">
        <f>G5</f>
        <v>130.69999999999999</v>
      </c>
      <c r="I5" s="175">
        <f t="shared" si="0"/>
        <v>7.84</v>
      </c>
    </row>
    <row r="6" spans="1:9" ht="30" x14ac:dyDescent="0.25">
      <c r="A6" s="178" t="s">
        <v>100</v>
      </c>
      <c r="B6" s="113" t="s">
        <v>172</v>
      </c>
      <c r="C6" s="113" t="str">
        <f>C5</f>
        <v>CDHU-189</v>
      </c>
      <c r="D6" s="170" t="s">
        <v>173</v>
      </c>
      <c r="E6" s="113" t="s">
        <v>49</v>
      </c>
      <c r="F6" s="113">
        <v>1.03</v>
      </c>
      <c r="G6" s="175">
        <v>65.92</v>
      </c>
      <c r="H6" s="175">
        <f>G6</f>
        <v>65.92</v>
      </c>
      <c r="I6" s="175">
        <f t="shared" si="0"/>
        <v>67.900000000000006</v>
      </c>
    </row>
    <row r="7" spans="1:9" ht="30" x14ac:dyDescent="0.25">
      <c r="A7" s="178" t="s">
        <v>177</v>
      </c>
      <c r="B7" s="113" t="s">
        <v>174</v>
      </c>
      <c r="C7" s="113" t="str">
        <f>C6</f>
        <v>CDHU-189</v>
      </c>
      <c r="D7" s="170" t="s">
        <v>175</v>
      </c>
      <c r="E7" s="113" t="s">
        <v>83</v>
      </c>
      <c r="F7" s="113">
        <v>0.20300000000000001</v>
      </c>
      <c r="G7" s="175">
        <v>28.09</v>
      </c>
      <c r="H7" s="175">
        <f>G7</f>
        <v>28.09</v>
      </c>
      <c r="I7" s="175">
        <f t="shared" si="0"/>
        <v>5.7</v>
      </c>
    </row>
    <row r="8" spans="1:9" s="33" customFormat="1" ht="30" x14ac:dyDescent="0.25">
      <c r="A8" s="177">
        <v>2</v>
      </c>
      <c r="B8" s="173" t="s">
        <v>192</v>
      </c>
      <c r="C8" s="173"/>
      <c r="D8" s="174" t="s">
        <v>191</v>
      </c>
      <c r="E8" s="173" t="s">
        <v>49</v>
      </c>
      <c r="F8" s="173"/>
      <c r="G8" s="173"/>
      <c r="H8" s="173"/>
      <c r="I8" s="176">
        <f>SUM(I9:I13)</f>
        <v>101.91</v>
      </c>
    </row>
    <row r="9" spans="1:9" s="33" customFormat="1" x14ac:dyDescent="0.25">
      <c r="A9" s="178" t="s">
        <v>183</v>
      </c>
      <c r="B9" s="113" t="s">
        <v>168</v>
      </c>
      <c r="C9" s="113" t="s">
        <v>150</v>
      </c>
      <c r="D9" s="170" t="s">
        <v>169</v>
      </c>
      <c r="E9" s="113" t="s">
        <v>83</v>
      </c>
      <c r="F9" s="113">
        <v>0.6</v>
      </c>
      <c r="G9" s="175">
        <v>8.5299999999999994</v>
      </c>
      <c r="H9" s="175">
        <f>ROUND(G9*2.2823,2)</f>
        <v>19.47</v>
      </c>
      <c r="I9" s="175">
        <f>ROUND(H9*F9,2)</f>
        <v>11.68</v>
      </c>
    </row>
    <row r="10" spans="1:9" s="33" customFormat="1" x14ac:dyDescent="0.25">
      <c r="A10" s="178" t="s">
        <v>184</v>
      </c>
      <c r="B10" s="113" t="s">
        <v>170</v>
      </c>
      <c r="C10" s="113" t="s">
        <v>150</v>
      </c>
      <c r="D10" s="170" t="s">
        <v>171</v>
      </c>
      <c r="E10" s="113" t="s">
        <v>83</v>
      </c>
      <c r="F10" s="113">
        <v>0.3</v>
      </c>
      <c r="G10" s="175">
        <v>10.38</v>
      </c>
      <c r="H10" s="175">
        <f>ROUND(G10*2.2823,2)</f>
        <v>23.69</v>
      </c>
      <c r="I10" s="175">
        <f t="shared" ref="I10:I13" si="1">ROUND(H10*F10,2)</f>
        <v>7.11</v>
      </c>
    </row>
    <row r="11" spans="1:9" s="33" customFormat="1" x14ac:dyDescent="0.25">
      <c r="A11" s="178" t="s">
        <v>185</v>
      </c>
      <c r="B11" s="113" t="s">
        <v>188</v>
      </c>
      <c r="C11" s="113" t="str">
        <f>C10</f>
        <v>CDHU-189</v>
      </c>
      <c r="D11" s="170" t="s">
        <v>189</v>
      </c>
      <c r="E11" s="113" t="s">
        <v>51</v>
      </c>
      <c r="F11" s="113">
        <v>0.06</v>
      </c>
      <c r="G11" s="175">
        <v>130.69999999999999</v>
      </c>
      <c r="H11" s="175">
        <f>G11</f>
        <v>130.69999999999999</v>
      </c>
      <c r="I11" s="175">
        <f t="shared" si="1"/>
        <v>7.84</v>
      </c>
    </row>
    <row r="12" spans="1:9" s="33" customFormat="1" ht="30" x14ac:dyDescent="0.25">
      <c r="A12" s="178" t="s">
        <v>186</v>
      </c>
      <c r="B12" s="113" t="s">
        <v>181</v>
      </c>
      <c r="C12" s="113" t="s">
        <v>150</v>
      </c>
      <c r="D12" s="170" t="s">
        <v>182</v>
      </c>
      <c r="E12" s="113" t="s">
        <v>49</v>
      </c>
      <c r="F12" s="113">
        <v>1.03</v>
      </c>
      <c r="G12" s="175">
        <v>67.55</v>
      </c>
      <c r="H12" s="175">
        <f>G12</f>
        <v>67.55</v>
      </c>
      <c r="I12" s="175">
        <f t="shared" si="1"/>
        <v>69.58</v>
      </c>
    </row>
    <row r="13" spans="1:9" s="33" customFormat="1" ht="30" x14ac:dyDescent="0.25">
      <c r="A13" s="178" t="s">
        <v>187</v>
      </c>
      <c r="B13" s="113" t="s">
        <v>174</v>
      </c>
      <c r="C13" s="113" t="s">
        <v>150</v>
      </c>
      <c r="D13" s="170" t="s">
        <v>175</v>
      </c>
      <c r="E13" s="113" t="s">
        <v>83</v>
      </c>
      <c r="F13" s="113">
        <v>0.20300000000000001</v>
      </c>
      <c r="G13" s="175">
        <v>28.09</v>
      </c>
      <c r="H13" s="175">
        <f>G13</f>
        <v>28.09</v>
      </c>
      <c r="I13" s="175">
        <f t="shared" si="1"/>
        <v>5.7</v>
      </c>
    </row>
    <row r="14" spans="1:9" s="33" customFormat="1" ht="45" x14ac:dyDescent="0.25">
      <c r="A14" s="177">
        <v>3</v>
      </c>
      <c r="B14" s="173" t="s">
        <v>318</v>
      </c>
      <c r="C14" s="173"/>
      <c r="D14" s="174" t="s">
        <v>317</v>
      </c>
      <c r="E14" s="173"/>
      <c r="F14" s="173"/>
      <c r="G14" s="173"/>
      <c r="H14" s="173"/>
      <c r="I14" s="176">
        <f>SUM(I15:I21)</f>
        <v>2339.08</v>
      </c>
    </row>
    <row r="15" spans="1:9" ht="60" x14ac:dyDescent="0.25">
      <c r="A15" s="113" t="s">
        <v>330</v>
      </c>
      <c r="B15" s="113">
        <v>5678</v>
      </c>
      <c r="C15" s="113" t="s">
        <v>327</v>
      </c>
      <c r="D15" s="170" t="s">
        <v>319</v>
      </c>
      <c r="E15" s="113" t="s">
        <v>320</v>
      </c>
      <c r="F15" s="113">
        <v>5.8900000000000001E-2</v>
      </c>
      <c r="G15" s="175">
        <v>148.87</v>
      </c>
      <c r="H15" s="175">
        <f t="shared" ref="H15:H21" si="2">G15</f>
        <v>148.87</v>
      </c>
      <c r="I15" s="175">
        <f>ROUND(H15*F15,2)</f>
        <v>8.77</v>
      </c>
    </row>
    <row r="16" spans="1:9" ht="60" x14ac:dyDescent="0.25">
      <c r="A16" s="113" t="s">
        <v>331</v>
      </c>
      <c r="B16" s="113">
        <v>5679</v>
      </c>
      <c r="C16" s="113" t="str">
        <f>C15</f>
        <v>SINAPI</v>
      </c>
      <c r="D16" s="170" t="s">
        <v>321</v>
      </c>
      <c r="E16" s="113" t="s">
        <v>322</v>
      </c>
      <c r="F16" s="113">
        <v>0.12</v>
      </c>
      <c r="G16" s="175">
        <v>65.03</v>
      </c>
      <c r="H16" s="175">
        <f t="shared" si="2"/>
        <v>65.03</v>
      </c>
      <c r="I16" s="175">
        <f t="shared" ref="I16:I19" si="3">ROUND(H16*F16,2)</f>
        <v>7.8</v>
      </c>
    </row>
    <row r="17" spans="1:9" ht="30" x14ac:dyDescent="0.25">
      <c r="A17" s="115" t="s">
        <v>332</v>
      </c>
      <c r="B17" s="113">
        <v>43433</v>
      </c>
      <c r="C17" s="115" t="str">
        <f t="shared" ref="C17:C19" si="4">C16</f>
        <v>SINAPI</v>
      </c>
      <c r="D17" s="170" t="s">
        <v>323</v>
      </c>
      <c r="E17" s="113" t="s">
        <v>91</v>
      </c>
      <c r="F17" s="113">
        <v>1</v>
      </c>
      <c r="G17" s="175">
        <v>890.29</v>
      </c>
      <c r="H17" s="175">
        <f t="shared" si="2"/>
        <v>890.29</v>
      </c>
      <c r="I17" s="175">
        <f t="shared" si="3"/>
        <v>890.29</v>
      </c>
    </row>
    <row r="18" spans="1:9" x14ac:dyDescent="0.25">
      <c r="A18" s="115" t="s">
        <v>333</v>
      </c>
      <c r="B18" s="113">
        <v>88309</v>
      </c>
      <c r="C18" s="115" t="str">
        <f t="shared" si="4"/>
        <v>SINAPI</v>
      </c>
      <c r="D18" s="170" t="s">
        <v>324</v>
      </c>
      <c r="E18" s="113" t="s">
        <v>83</v>
      </c>
      <c r="F18" s="113">
        <v>0.11600000000000001</v>
      </c>
      <c r="G18" s="175">
        <v>30.54</v>
      </c>
      <c r="H18" s="175">
        <f t="shared" si="2"/>
        <v>30.54</v>
      </c>
      <c r="I18" s="175">
        <f t="shared" si="3"/>
        <v>3.54</v>
      </c>
    </row>
    <row r="19" spans="1:9" x14ac:dyDescent="0.25">
      <c r="A19" s="115" t="s">
        <v>334</v>
      </c>
      <c r="B19" s="113">
        <v>88316</v>
      </c>
      <c r="C19" s="115" t="str">
        <f t="shared" si="4"/>
        <v>SINAPI</v>
      </c>
      <c r="D19" s="170" t="s">
        <v>325</v>
      </c>
      <c r="E19" s="113" t="s">
        <v>83</v>
      </c>
      <c r="F19" s="113">
        <v>9.1200000000000003E-2</v>
      </c>
      <c r="G19" s="175">
        <v>26.3</v>
      </c>
      <c r="H19" s="175">
        <f t="shared" si="2"/>
        <v>26.3</v>
      </c>
      <c r="I19" s="175">
        <f t="shared" si="3"/>
        <v>2.4</v>
      </c>
    </row>
    <row r="20" spans="1:9" x14ac:dyDescent="0.25">
      <c r="A20" s="115" t="s">
        <v>335</v>
      </c>
      <c r="B20" s="115" t="s">
        <v>328</v>
      </c>
      <c r="C20" s="113" t="s">
        <v>150</v>
      </c>
      <c r="D20" s="170" t="s">
        <v>329</v>
      </c>
      <c r="E20" s="113" t="s">
        <v>49</v>
      </c>
      <c r="F20" s="115">
        <v>1</v>
      </c>
      <c r="G20" s="175">
        <v>1389.39</v>
      </c>
      <c r="H20" s="175">
        <f t="shared" si="2"/>
        <v>1389.39</v>
      </c>
      <c r="I20" s="175">
        <f>ROUND(H20*F20,2)</f>
        <v>1389.39</v>
      </c>
    </row>
    <row r="21" spans="1:9" ht="30" x14ac:dyDescent="0.25">
      <c r="A21" s="115" t="s">
        <v>336</v>
      </c>
      <c r="B21" s="113">
        <v>101623</v>
      </c>
      <c r="C21" s="115" t="s">
        <v>327</v>
      </c>
      <c r="D21" s="170" t="s">
        <v>326</v>
      </c>
      <c r="E21" s="113" t="s">
        <v>51</v>
      </c>
      <c r="F21" s="113">
        <v>0.16900000000000001</v>
      </c>
      <c r="G21" s="175">
        <v>218.28</v>
      </c>
      <c r="H21" s="175">
        <f t="shared" si="2"/>
        <v>218.28</v>
      </c>
      <c r="I21" s="175">
        <f t="shared" ref="I21" si="5">ROUND(H21*F21,2)</f>
        <v>36.89</v>
      </c>
    </row>
    <row r="22" spans="1:9" x14ac:dyDescent="0.25"/>
    <row r="23" spans="1:9" s="33" customFormat="1" hidden="1" x14ac:dyDescent="0.25"/>
    <row r="24" spans="1:9" hidden="1" x14ac:dyDescent="0.25">
      <c r="D24" s="221"/>
    </row>
    <row r="25" spans="1:9" hidden="1" x14ac:dyDescent="0.25">
      <c r="D25" s="220" t="str">
        <f>BDI!E35</f>
        <v>DANIEL FRANCISCO</v>
      </c>
    </row>
    <row r="26" spans="1:9" hidden="1" x14ac:dyDescent="0.25">
      <c r="D26" s="220" t="str">
        <f>BDI!E36</f>
        <v>RESPONSÁVEL TÉCNICO</v>
      </c>
    </row>
    <row r="27" spans="1:9" hidden="1" x14ac:dyDescent="0.25">
      <c r="D27" s="220" t="str">
        <f>BDI!E37</f>
        <v>CREA-SP: 5070397010</v>
      </c>
    </row>
    <row r="28" spans="1:9" hidden="1" x14ac:dyDescent="0.25">
      <c r="D28" s="220" t="str">
        <f>BDI!E38</f>
        <v>ART: 28027230230620897</v>
      </c>
    </row>
    <row r="29" spans="1:9" hidden="1" x14ac:dyDescent="0.25"/>
  </sheetData>
  <sheetProtection algorithmName="SHA-512" hashValue="6XAu6m9XoOVnhc140+dzK7oYSJFpLhWWterN3LBng4wea4v+5wDSxZdAjZz1UwIf3TZrPwOYP8S7gWLlc6hY2Q==" saltValue="7sIzccJiBBVfiURZXe+VeA==" spinCount="100000" sheet="1" objects="1" scenarios="1"/>
  <pageMargins left="0.7" right="0.7" top="0.75" bottom="0.75" header="0.3" footer="0.3"/>
  <pageSetup paperSize="9" scale="8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opLeftCell="XFD1" workbookViewId="0">
      <selection sqref="A1:XFD1048576"/>
    </sheetView>
  </sheetViews>
  <sheetFormatPr defaultColWidth="0" defaultRowHeight="15" x14ac:dyDescent="0.25"/>
  <cols>
    <col min="1" max="4" width="9.140625" hidden="1" customWidth="1"/>
    <col min="5" max="6" width="10.5703125" hidden="1" customWidth="1"/>
    <col min="7" max="7" width="12.85546875" hidden="1" customWidth="1"/>
    <col min="8" max="9" width="0" hidden="1" customWidth="1"/>
    <col min="10" max="16384" width="9.140625" hidden="1"/>
  </cols>
  <sheetData>
    <row r="1" spans="1:9" s="33" customFormat="1" ht="30" x14ac:dyDescent="0.25">
      <c r="A1" s="33" t="s">
        <v>199</v>
      </c>
      <c r="B1" s="33" t="s">
        <v>200</v>
      </c>
      <c r="C1" s="33" t="s">
        <v>201</v>
      </c>
      <c r="D1" s="33" t="s">
        <v>221</v>
      </c>
      <c r="E1" s="184" t="s">
        <v>223</v>
      </c>
      <c r="F1" s="33" t="s">
        <v>224</v>
      </c>
      <c r="G1" s="33" t="s">
        <v>225</v>
      </c>
      <c r="H1" s="33" t="s">
        <v>226</v>
      </c>
      <c r="I1" s="33" t="s">
        <v>227</v>
      </c>
    </row>
    <row r="2" spans="1:9" x14ac:dyDescent="0.25">
      <c r="A2">
        <v>746.72</v>
      </c>
      <c r="B2">
        <v>4.57</v>
      </c>
      <c r="C2">
        <v>1.04</v>
      </c>
      <c r="D2">
        <v>325.85000000000002</v>
      </c>
      <c r="E2">
        <v>1.87</v>
      </c>
      <c r="F2">
        <v>1.87</v>
      </c>
      <c r="G2">
        <f>F2</f>
        <v>1.87</v>
      </c>
      <c r="H2">
        <f>1.87</f>
        <v>1.87</v>
      </c>
      <c r="I2">
        <f>H2</f>
        <v>1.87</v>
      </c>
    </row>
    <row r="3" spans="1:9" x14ac:dyDescent="0.25">
      <c r="A3">
        <v>55.17</v>
      </c>
      <c r="B3">
        <v>5.42</v>
      </c>
      <c r="C3">
        <f>1*8</f>
        <v>8</v>
      </c>
      <c r="D3">
        <v>11.02</v>
      </c>
      <c r="E3">
        <v>8.66</v>
      </c>
      <c r="F3">
        <v>16.899999999999999</v>
      </c>
      <c r="G3">
        <f>F3</f>
        <v>16.899999999999999</v>
      </c>
      <c r="H3">
        <v>19.87</v>
      </c>
      <c r="I3" s="33">
        <f t="shared" ref="I3:I9" si="0">H3</f>
        <v>19.87</v>
      </c>
    </row>
    <row r="4" spans="1:9" x14ac:dyDescent="0.25">
      <c r="A4">
        <v>62.01</v>
      </c>
      <c r="B4">
        <v>3.68</v>
      </c>
      <c r="C4">
        <f>0.54*7</f>
        <v>3.7800000000000002</v>
      </c>
      <c r="D4">
        <v>7.56</v>
      </c>
      <c r="E4">
        <v>19.87</v>
      </c>
      <c r="F4">
        <v>19.100000000000001</v>
      </c>
      <c r="G4">
        <f>F4</f>
        <v>19.100000000000001</v>
      </c>
      <c r="H4">
        <v>18.72</v>
      </c>
      <c r="I4" s="33">
        <f t="shared" si="0"/>
        <v>18.72</v>
      </c>
    </row>
    <row r="5" spans="1:9" x14ac:dyDescent="0.25">
      <c r="A5">
        <v>25</v>
      </c>
      <c r="B5">
        <v>64.2</v>
      </c>
      <c r="C5">
        <v>1.02</v>
      </c>
      <c r="D5">
        <v>44.47</v>
      </c>
      <c r="E5">
        <v>18.72</v>
      </c>
      <c r="F5" s="185">
        <f>SUM(F2:F4)*2</f>
        <v>75.740000000000009</v>
      </c>
      <c r="G5">
        <f>SUM(G2:G4)</f>
        <v>37.870000000000005</v>
      </c>
      <c r="H5">
        <v>8.66</v>
      </c>
      <c r="I5" s="33">
        <f t="shared" si="0"/>
        <v>8.66</v>
      </c>
    </row>
    <row r="6" spans="1:9" x14ac:dyDescent="0.25">
      <c r="A6">
        <v>25</v>
      </c>
      <c r="C6">
        <v>1.27</v>
      </c>
      <c r="D6">
        <v>4.8499999999999996</v>
      </c>
      <c r="E6">
        <v>16.899999999999999</v>
      </c>
      <c r="H6">
        <v>16.899999999999999</v>
      </c>
      <c r="I6" s="33">
        <f t="shared" si="0"/>
        <v>16.899999999999999</v>
      </c>
    </row>
    <row r="7" spans="1:9" x14ac:dyDescent="0.25">
      <c r="A7">
        <v>27.48</v>
      </c>
      <c r="C7">
        <v>0.57999999999999996</v>
      </c>
      <c r="D7">
        <f>SUM(D2:D6)</f>
        <v>393.75</v>
      </c>
      <c r="E7">
        <v>19.100000000000001</v>
      </c>
      <c r="H7">
        <v>19.100000000000001</v>
      </c>
      <c r="I7" s="33">
        <f t="shared" si="0"/>
        <v>19.100000000000001</v>
      </c>
    </row>
    <row r="8" spans="1:9" x14ac:dyDescent="0.25">
      <c r="A8">
        <f>SUM(A2:A7)</f>
        <v>941.38</v>
      </c>
      <c r="B8">
        <f>SUM(B2:B7)</f>
        <v>77.87</v>
      </c>
      <c r="C8">
        <v>2</v>
      </c>
      <c r="E8">
        <v>9.15</v>
      </c>
      <c r="H8">
        <v>9.15</v>
      </c>
      <c r="I8" s="33">
        <f t="shared" si="0"/>
        <v>9.15</v>
      </c>
    </row>
    <row r="9" spans="1:9" x14ac:dyDescent="0.25">
      <c r="C9">
        <v>4.63</v>
      </c>
      <c r="E9">
        <f>SUM(E2:E8)</f>
        <v>94.27000000000001</v>
      </c>
      <c r="H9">
        <f>10*5</f>
        <v>50</v>
      </c>
      <c r="I9" s="33">
        <f t="shared" si="0"/>
        <v>50</v>
      </c>
    </row>
    <row r="10" spans="1:9" x14ac:dyDescent="0.25">
      <c r="C10">
        <v>0.77</v>
      </c>
      <c r="H10">
        <f>SUM(H2:H9)*2</f>
        <v>288.54000000000002</v>
      </c>
      <c r="I10">
        <f>SUM(I2:I9)</f>
        <v>144.27000000000001</v>
      </c>
    </row>
    <row r="11" spans="1:9" x14ac:dyDescent="0.25">
      <c r="C11">
        <v>6.48</v>
      </c>
    </row>
    <row r="12" spans="1:9" x14ac:dyDescent="0.25">
      <c r="C12">
        <v>0.54</v>
      </c>
    </row>
    <row r="13" spans="1:9" x14ac:dyDescent="0.25">
      <c r="C13">
        <v>6.05</v>
      </c>
    </row>
    <row r="14" spans="1:9" x14ac:dyDescent="0.25">
      <c r="C14">
        <v>0.86</v>
      </c>
    </row>
    <row r="15" spans="1:9" x14ac:dyDescent="0.25">
      <c r="C15">
        <v>0.17</v>
      </c>
    </row>
    <row r="16" spans="1:9" x14ac:dyDescent="0.25">
      <c r="C16">
        <v>1.28</v>
      </c>
    </row>
    <row r="17" spans="3:3" x14ac:dyDescent="0.25">
      <c r="C17">
        <v>2.14</v>
      </c>
    </row>
    <row r="18" spans="3:3" x14ac:dyDescent="0.25">
      <c r="C18">
        <v>2.14</v>
      </c>
    </row>
    <row r="19" spans="3:3" x14ac:dyDescent="0.25">
      <c r="C19">
        <v>1.28</v>
      </c>
    </row>
    <row r="20" spans="3:3" x14ac:dyDescent="0.25">
      <c r="C20">
        <v>1.79</v>
      </c>
    </row>
    <row r="21" spans="3:3" x14ac:dyDescent="0.25">
      <c r="C21">
        <v>0.75</v>
      </c>
    </row>
    <row r="22" spans="3:3" x14ac:dyDescent="0.25">
      <c r="C22">
        <v>1.88</v>
      </c>
    </row>
    <row r="23" spans="3:3" x14ac:dyDescent="0.25">
      <c r="C23">
        <v>1.17</v>
      </c>
    </row>
    <row r="24" spans="3:3" x14ac:dyDescent="0.25">
      <c r="C24">
        <v>1.17</v>
      </c>
    </row>
    <row r="25" spans="3:3" x14ac:dyDescent="0.25">
      <c r="C25">
        <v>0.93</v>
      </c>
    </row>
    <row r="26" spans="3:3" x14ac:dyDescent="0.25">
      <c r="C26">
        <v>2.62</v>
      </c>
    </row>
    <row r="27" spans="3:3" x14ac:dyDescent="0.25">
      <c r="C27">
        <v>0.14000000000000001</v>
      </c>
    </row>
    <row r="28" spans="3:3" x14ac:dyDescent="0.25">
      <c r="C28">
        <v>0.16</v>
      </c>
    </row>
    <row r="29" spans="3:3" x14ac:dyDescent="0.25">
      <c r="C29">
        <v>0.5</v>
      </c>
    </row>
    <row r="30" spans="3:3" x14ac:dyDescent="0.25">
      <c r="C30">
        <v>0.38</v>
      </c>
    </row>
    <row r="31" spans="3:3" x14ac:dyDescent="0.25">
      <c r="C31">
        <v>2.16</v>
      </c>
    </row>
    <row r="32" spans="3:3" x14ac:dyDescent="0.25">
      <c r="C32">
        <v>0.39</v>
      </c>
    </row>
    <row r="33" spans="3:3" x14ac:dyDescent="0.25">
      <c r="C33">
        <v>1.06</v>
      </c>
    </row>
    <row r="34" spans="3:3" x14ac:dyDescent="0.25">
      <c r="C34">
        <v>0.43</v>
      </c>
    </row>
    <row r="35" spans="3:3" x14ac:dyDescent="0.25">
      <c r="C35">
        <f>SUM(C2:C34)</f>
        <v>59.560000000000009</v>
      </c>
    </row>
  </sheetData>
  <sheetProtection algorithmName="SHA-512" hashValue="QJpowyt19/TDioE5NFTeh7bbV3IGWjpt5OKR6KFBoMdelfNJDkHCB+IsS21MkLFeZCwE9K5FAbUYOcHsqr72iQ==" saltValue="2u1HRSfWlP3BYRUEFq9/4g==" spinCount="100000" sheet="1" objects="1" scenarios="1" selectLockedCells="1" selectUnlockedCells="1"/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showGridLines="0" topLeftCell="XFD23" workbookViewId="0">
      <selection activeCell="A23" sqref="A1:H1048576"/>
    </sheetView>
  </sheetViews>
  <sheetFormatPr defaultColWidth="0" defaultRowHeight="15" x14ac:dyDescent="0.25"/>
  <cols>
    <col min="1" max="1" width="13.85546875" hidden="1" customWidth="1"/>
    <col min="2" max="2" width="6.140625" hidden="1" customWidth="1"/>
    <col min="3" max="3" width="6.42578125" hidden="1" customWidth="1"/>
    <col min="4" max="4" width="12.5703125" hidden="1" customWidth="1"/>
    <col min="5" max="5" width="8" hidden="1" customWidth="1"/>
    <col min="6" max="6" width="10.42578125" hidden="1" customWidth="1"/>
    <col min="7" max="7" width="11.140625" hidden="1" customWidth="1"/>
    <col min="8" max="8" width="9.140625" hidden="1" customWidth="1"/>
    <col min="9" max="16384" width="9.140625" hidden="1"/>
  </cols>
  <sheetData>
    <row r="1" spans="1:7" x14ac:dyDescent="0.25">
      <c r="A1" s="193" t="s">
        <v>374</v>
      </c>
      <c r="B1" s="48"/>
      <c r="C1" s="48"/>
      <c r="D1" s="48"/>
      <c r="E1" s="48"/>
      <c r="F1" s="50"/>
      <c r="G1" s="189"/>
    </row>
    <row r="2" spans="1:7" x14ac:dyDescent="0.25">
      <c r="A2" s="34"/>
      <c r="B2" s="35" t="s">
        <v>53</v>
      </c>
      <c r="C2" s="35" t="s">
        <v>54</v>
      </c>
      <c r="D2" s="35" t="s">
        <v>55</v>
      </c>
      <c r="E2" s="35" t="s">
        <v>18</v>
      </c>
      <c r="F2" s="267" t="s">
        <v>56</v>
      </c>
      <c r="G2" s="267"/>
    </row>
    <row r="3" spans="1:7" x14ac:dyDescent="0.25">
      <c r="A3" s="36"/>
      <c r="B3" s="37"/>
      <c r="C3" s="37"/>
      <c r="D3" s="37"/>
      <c r="E3" s="37"/>
      <c r="F3" s="187" t="s">
        <v>57</v>
      </c>
      <c r="G3" s="187" t="s">
        <v>58</v>
      </c>
    </row>
    <row r="4" spans="1:7" x14ac:dyDescent="0.25">
      <c r="A4" s="38" t="s">
        <v>373</v>
      </c>
      <c r="B4" s="53">
        <v>6</v>
      </c>
      <c r="C4" s="54" t="s">
        <v>86</v>
      </c>
      <c r="D4" s="39"/>
      <c r="E4" s="39"/>
      <c r="F4" s="48"/>
      <c r="G4" s="40"/>
    </row>
    <row r="5" spans="1:7" x14ac:dyDescent="0.25">
      <c r="A5" s="41"/>
      <c r="B5" s="187" t="s">
        <v>59</v>
      </c>
      <c r="C5" s="187" t="s">
        <v>60</v>
      </c>
      <c r="D5" s="46">
        <v>8</v>
      </c>
      <c r="E5" s="187">
        <f>4*B4</f>
        <v>24</v>
      </c>
      <c r="F5" s="187">
        <v>234</v>
      </c>
      <c r="G5" s="187">
        <f>F5*E5</f>
        <v>5616</v>
      </c>
    </row>
    <row r="6" spans="1:7" x14ac:dyDescent="0.25">
      <c r="A6" s="41"/>
      <c r="B6" s="187" t="s">
        <v>59</v>
      </c>
      <c r="C6" s="187" t="s">
        <v>61</v>
      </c>
      <c r="D6" s="46">
        <v>8</v>
      </c>
      <c r="E6" s="187">
        <f>4*B4</f>
        <v>24</v>
      </c>
      <c r="F6" s="187">
        <v>196</v>
      </c>
      <c r="G6" s="187">
        <f t="shared" ref="G6:G7" si="0">F6*E6</f>
        <v>4704</v>
      </c>
    </row>
    <row r="7" spans="1:7" x14ac:dyDescent="0.25">
      <c r="A7" s="41"/>
      <c r="B7" s="187" t="s">
        <v>59</v>
      </c>
      <c r="C7" s="187" t="s">
        <v>63</v>
      </c>
      <c r="D7" s="46">
        <v>8</v>
      </c>
      <c r="E7" s="187">
        <f>4*B4</f>
        <v>24</v>
      </c>
      <c r="F7" s="187">
        <v>200</v>
      </c>
      <c r="G7" s="187">
        <f t="shared" si="0"/>
        <v>4800</v>
      </c>
    </row>
    <row r="8" spans="1:7" hidden="1" x14ac:dyDescent="0.25">
      <c r="A8" s="41"/>
      <c r="B8" s="43"/>
      <c r="C8" s="43"/>
      <c r="D8" s="44"/>
      <c r="E8" s="43"/>
      <c r="F8" s="43"/>
      <c r="G8" s="43"/>
    </row>
    <row r="9" spans="1:7" hidden="1" x14ac:dyDescent="0.25">
      <c r="A9" s="41"/>
      <c r="B9" s="187"/>
      <c r="C9" s="187"/>
      <c r="D9" s="46"/>
      <c r="E9" s="187"/>
      <c r="F9" s="187"/>
      <c r="G9" s="187"/>
    </row>
    <row r="10" spans="1:7" hidden="1" x14ac:dyDescent="0.25">
      <c r="A10" s="41"/>
      <c r="B10" s="187"/>
      <c r="C10" s="187"/>
      <c r="D10" s="46"/>
      <c r="E10" s="187"/>
      <c r="F10" s="187"/>
      <c r="G10" s="187"/>
    </row>
    <row r="11" spans="1:7" hidden="1" x14ac:dyDescent="0.25">
      <c r="A11" s="41"/>
      <c r="B11" s="187"/>
      <c r="C11" s="187"/>
      <c r="D11" s="46"/>
      <c r="E11" s="187"/>
      <c r="F11" s="187"/>
      <c r="G11" s="187"/>
    </row>
    <row r="12" spans="1:7" hidden="1" x14ac:dyDescent="0.25">
      <c r="A12" s="41"/>
      <c r="B12" s="187"/>
      <c r="C12" s="187"/>
      <c r="D12" s="46"/>
      <c r="E12" s="187"/>
      <c r="F12" s="187"/>
      <c r="G12" s="187"/>
    </row>
    <row r="13" spans="1:7" hidden="1" x14ac:dyDescent="0.25">
      <c r="A13" s="41"/>
      <c r="B13" s="43" t="s">
        <v>62</v>
      </c>
      <c r="C13" s="43" t="s">
        <v>75</v>
      </c>
      <c r="D13" s="44"/>
      <c r="E13" s="43"/>
      <c r="F13" s="43"/>
      <c r="G13" s="43">
        <f>F13*E13</f>
        <v>0</v>
      </c>
    </row>
    <row r="14" spans="1:7" x14ac:dyDescent="0.25">
      <c r="A14" s="188"/>
      <c r="B14" s="48"/>
      <c r="C14" s="48"/>
      <c r="D14" s="48"/>
      <c r="E14" s="48"/>
      <c r="F14" s="48"/>
      <c r="G14" s="189"/>
    </row>
    <row r="15" spans="1:7" x14ac:dyDescent="0.25">
      <c r="A15" s="187" t="s">
        <v>53</v>
      </c>
      <c r="B15" s="270" t="s">
        <v>55</v>
      </c>
      <c r="C15" s="271"/>
      <c r="D15" s="261" t="s">
        <v>64</v>
      </c>
      <c r="E15" s="262"/>
      <c r="F15" s="60" t="s">
        <v>369</v>
      </c>
      <c r="G15" s="194" t="s">
        <v>65</v>
      </c>
    </row>
    <row r="16" spans="1:7" x14ac:dyDescent="0.25">
      <c r="A16" s="187" t="s">
        <v>59</v>
      </c>
      <c r="B16" s="259">
        <v>8</v>
      </c>
      <c r="C16" s="260"/>
      <c r="D16" s="268">
        <f>SUMIF(D5:D13,B16,G5:G13)/100</f>
        <v>151.19999999999999</v>
      </c>
      <c r="E16" s="269"/>
      <c r="F16" s="187">
        <v>0.4</v>
      </c>
      <c r="G16" s="194">
        <f>ROUND(F16*D16,2)</f>
        <v>60.48</v>
      </c>
    </row>
    <row r="17" spans="1:7" hidden="1" x14ac:dyDescent="0.25">
      <c r="A17" s="187" t="s">
        <v>62</v>
      </c>
      <c r="B17" s="268">
        <v>5</v>
      </c>
      <c r="C17" s="269"/>
      <c r="D17" s="268">
        <f>SUMIF(D5:D13,B17,G5:G13)/100</f>
        <v>0</v>
      </c>
      <c r="E17" s="269"/>
      <c r="F17" s="187">
        <v>0.154</v>
      </c>
      <c r="G17" s="46">
        <f t="shared" ref="G17" si="1">ROUND(F17*D17,2)</f>
        <v>0</v>
      </c>
    </row>
    <row r="18" spans="1:7" x14ac:dyDescent="0.25">
      <c r="A18" s="188"/>
      <c r="B18" s="48"/>
      <c r="C18" s="48"/>
      <c r="D18" s="48"/>
      <c r="E18" s="48"/>
      <c r="F18" s="48"/>
      <c r="G18" s="189"/>
    </row>
    <row r="19" spans="1:7" x14ac:dyDescent="0.25">
      <c r="A19" s="188"/>
      <c r="B19" s="48"/>
      <c r="C19" s="48"/>
      <c r="D19" s="48"/>
      <c r="E19" s="48"/>
      <c r="F19" s="50" t="s">
        <v>66</v>
      </c>
      <c r="G19" s="46">
        <f>G16</f>
        <v>60.48</v>
      </c>
    </row>
    <row r="20" spans="1:7" hidden="1" x14ac:dyDescent="0.25">
      <c r="A20" s="188"/>
      <c r="B20" s="48"/>
      <c r="C20" s="48"/>
      <c r="D20" s="48"/>
      <c r="E20" s="48"/>
      <c r="F20" s="50" t="s">
        <v>67</v>
      </c>
      <c r="G20" s="187"/>
    </row>
    <row r="21" spans="1:7" hidden="1" x14ac:dyDescent="0.25">
      <c r="A21" s="188"/>
      <c r="B21" s="48"/>
      <c r="C21" s="48"/>
      <c r="D21" s="48"/>
      <c r="E21" s="48"/>
      <c r="F21" s="48"/>
      <c r="G21" s="189"/>
    </row>
    <row r="22" spans="1:7" hidden="1" x14ac:dyDescent="0.25">
      <c r="A22" s="188"/>
      <c r="B22" s="48"/>
      <c r="C22" s="48"/>
      <c r="D22" s="48"/>
      <c r="E22" s="48"/>
      <c r="F22" s="50" t="s">
        <v>68</v>
      </c>
      <c r="G22" s="46">
        <f>G17</f>
        <v>0</v>
      </c>
    </row>
    <row r="24" spans="1:7" ht="15.75" x14ac:dyDescent="0.25">
      <c r="A24" s="195" t="s">
        <v>370</v>
      </c>
      <c r="B24" s="196"/>
      <c r="C24" s="196"/>
      <c r="D24" s="196"/>
      <c r="E24" s="196"/>
      <c r="F24" s="196"/>
      <c r="G24" s="197"/>
    </row>
    <row r="25" spans="1:7" x14ac:dyDescent="0.25">
      <c r="A25" s="34"/>
      <c r="B25" s="35" t="s">
        <v>53</v>
      </c>
      <c r="C25" s="35" t="s">
        <v>54</v>
      </c>
      <c r="D25" s="35" t="s">
        <v>55</v>
      </c>
      <c r="E25" s="35" t="s">
        <v>18</v>
      </c>
      <c r="F25" s="267" t="s">
        <v>56</v>
      </c>
      <c r="G25" s="267"/>
    </row>
    <row r="26" spans="1:7" x14ac:dyDescent="0.25">
      <c r="A26" s="36"/>
      <c r="B26" s="37"/>
      <c r="C26" s="37"/>
      <c r="D26" s="37"/>
      <c r="E26" s="37"/>
      <c r="F26" s="187" t="s">
        <v>57</v>
      </c>
      <c r="G26" s="187" t="s">
        <v>58</v>
      </c>
    </row>
    <row r="27" spans="1:7" x14ac:dyDescent="0.25">
      <c r="A27" s="198" t="s">
        <v>372</v>
      </c>
      <c r="B27" s="202">
        <v>6</v>
      </c>
      <c r="C27" s="203" t="s">
        <v>86</v>
      </c>
      <c r="D27" s="199"/>
      <c r="E27" s="199"/>
      <c r="F27" s="199"/>
      <c r="G27" s="200"/>
    </row>
    <row r="28" spans="1:7" x14ac:dyDescent="0.25">
      <c r="A28" s="41"/>
      <c r="B28" s="187" t="s">
        <v>59</v>
      </c>
      <c r="C28" s="187" t="s">
        <v>60</v>
      </c>
      <c r="D28" s="46">
        <v>10</v>
      </c>
      <c r="E28" s="187">
        <f>4*B27</f>
        <v>24</v>
      </c>
      <c r="F28" s="187">
        <v>384</v>
      </c>
      <c r="G28" s="187">
        <f>F28*E28</f>
        <v>9216</v>
      </c>
    </row>
    <row r="29" spans="1:7" x14ac:dyDescent="0.25">
      <c r="A29" s="41"/>
      <c r="B29" s="187" t="s">
        <v>59</v>
      </c>
      <c r="C29" s="187" t="s">
        <v>61</v>
      </c>
      <c r="D29" s="46">
        <v>5</v>
      </c>
      <c r="E29" s="187">
        <f>20*B27</f>
        <v>120</v>
      </c>
      <c r="F29" s="187">
        <v>116</v>
      </c>
      <c r="G29" s="187">
        <f t="shared" ref="G29:G32" si="2">F29*E29</f>
        <v>13920</v>
      </c>
    </row>
    <row r="30" spans="1:7" hidden="1" x14ac:dyDescent="0.25">
      <c r="A30" s="41"/>
      <c r="B30" s="35" t="s">
        <v>62</v>
      </c>
      <c r="C30" s="35" t="s">
        <v>63</v>
      </c>
      <c r="D30" s="42">
        <v>5</v>
      </c>
      <c r="E30" s="187"/>
      <c r="F30" s="35">
        <v>110</v>
      </c>
      <c r="G30" s="187">
        <f t="shared" si="2"/>
        <v>0</v>
      </c>
    </row>
    <row r="31" spans="1:7" hidden="1" x14ac:dyDescent="0.25">
      <c r="A31" s="41"/>
      <c r="B31" s="35" t="s">
        <v>62</v>
      </c>
      <c r="C31" s="35" t="s">
        <v>70</v>
      </c>
      <c r="D31" s="42">
        <v>5</v>
      </c>
      <c r="E31" s="35"/>
      <c r="F31" s="35">
        <v>29</v>
      </c>
      <c r="G31" s="35">
        <f t="shared" si="2"/>
        <v>0</v>
      </c>
    </row>
    <row r="32" spans="1:7" hidden="1" x14ac:dyDescent="0.25">
      <c r="A32" s="41"/>
      <c r="B32" s="35" t="s">
        <v>62</v>
      </c>
      <c r="C32" s="187" t="s">
        <v>71</v>
      </c>
      <c r="D32" s="42">
        <v>5</v>
      </c>
      <c r="E32" s="35"/>
      <c r="F32" s="35">
        <v>109</v>
      </c>
      <c r="G32" s="35">
        <f t="shared" si="2"/>
        <v>0</v>
      </c>
    </row>
    <row r="33" spans="1:7" hidden="1" x14ac:dyDescent="0.25">
      <c r="A33" s="198" t="s">
        <v>371</v>
      </c>
      <c r="B33" s="39"/>
      <c r="C33" s="39"/>
      <c r="D33" s="39"/>
      <c r="E33" s="39"/>
      <c r="F33" s="39"/>
      <c r="G33" s="40"/>
    </row>
    <row r="34" spans="1:7" hidden="1" x14ac:dyDescent="0.25">
      <c r="A34" s="201"/>
      <c r="B34" s="202">
        <v>4</v>
      </c>
      <c r="C34" s="203" t="s">
        <v>86</v>
      </c>
      <c r="D34" s="199"/>
      <c r="E34" s="199"/>
      <c r="F34" s="199"/>
      <c r="G34" s="200"/>
    </row>
    <row r="35" spans="1:7" hidden="1" x14ac:dyDescent="0.25">
      <c r="A35" s="41"/>
      <c r="B35" s="187" t="s">
        <v>59</v>
      </c>
      <c r="C35" s="187" t="s">
        <v>60</v>
      </c>
      <c r="D35" s="46">
        <v>12.5</v>
      </c>
      <c r="E35" s="187"/>
      <c r="F35" s="187">
        <v>335</v>
      </c>
      <c r="G35" s="187">
        <f>F35*E35</f>
        <v>0</v>
      </c>
    </row>
    <row r="36" spans="1:7" hidden="1" x14ac:dyDescent="0.25">
      <c r="A36" s="41"/>
      <c r="B36" s="187" t="s">
        <v>59</v>
      </c>
      <c r="C36" s="187" t="s">
        <v>61</v>
      </c>
      <c r="D36" s="46">
        <v>12.5</v>
      </c>
      <c r="E36" s="187"/>
      <c r="F36" s="187">
        <v>140</v>
      </c>
      <c r="G36" s="187">
        <f t="shared" ref="G36:G39" si="3">F36*E36</f>
        <v>0</v>
      </c>
    </row>
    <row r="37" spans="1:7" hidden="1" x14ac:dyDescent="0.25">
      <c r="A37" s="41"/>
      <c r="B37" s="35" t="s">
        <v>62</v>
      </c>
      <c r="C37" s="35" t="s">
        <v>63</v>
      </c>
      <c r="D37" s="42">
        <v>5</v>
      </c>
      <c r="E37" s="187"/>
      <c r="F37" s="35">
        <v>110</v>
      </c>
      <c r="G37" s="187">
        <f t="shared" si="3"/>
        <v>0</v>
      </c>
    </row>
    <row r="38" spans="1:7" hidden="1" x14ac:dyDescent="0.25">
      <c r="A38" s="41"/>
      <c r="B38" s="35" t="s">
        <v>62</v>
      </c>
      <c r="C38" s="35" t="s">
        <v>70</v>
      </c>
      <c r="D38" s="42">
        <v>5</v>
      </c>
      <c r="E38" s="35"/>
      <c r="F38" s="35">
        <v>29</v>
      </c>
      <c r="G38" s="35">
        <f t="shared" si="3"/>
        <v>0</v>
      </c>
    </row>
    <row r="39" spans="1:7" hidden="1" x14ac:dyDescent="0.25">
      <c r="A39" s="41"/>
      <c r="B39" s="35" t="s">
        <v>62</v>
      </c>
      <c r="C39" s="35" t="s">
        <v>71</v>
      </c>
      <c r="D39" s="42">
        <v>5</v>
      </c>
      <c r="E39" s="35"/>
      <c r="F39" s="35">
        <v>109</v>
      </c>
      <c r="G39" s="35">
        <f t="shared" si="3"/>
        <v>0</v>
      </c>
    </row>
    <row r="40" spans="1:7" x14ac:dyDescent="0.25">
      <c r="A40" s="188"/>
      <c r="B40" s="48"/>
      <c r="C40" s="48"/>
      <c r="D40" s="204"/>
      <c r="E40" s="48"/>
      <c r="F40" s="48"/>
      <c r="G40" s="189"/>
    </row>
    <row r="41" spans="1:7" x14ac:dyDescent="0.25">
      <c r="A41" s="37" t="s">
        <v>53</v>
      </c>
      <c r="B41" s="263" t="s">
        <v>55</v>
      </c>
      <c r="C41" s="264"/>
      <c r="D41" s="265" t="s">
        <v>64</v>
      </c>
      <c r="E41" s="266"/>
      <c r="F41" s="205" t="s">
        <v>369</v>
      </c>
      <c r="G41" s="206" t="s">
        <v>65</v>
      </c>
    </row>
    <row r="42" spans="1:7" hidden="1" x14ac:dyDescent="0.25">
      <c r="A42" s="187" t="s">
        <v>59</v>
      </c>
      <c r="B42" s="259">
        <v>12.5</v>
      </c>
      <c r="C42" s="260"/>
      <c r="D42" s="261">
        <f>SUMIF(D28:D39,B42,G28:G39)/100</f>
        <v>0</v>
      </c>
      <c r="E42" s="262"/>
      <c r="F42" s="207">
        <v>1</v>
      </c>
      <c r="G42" s="194">
        <f>ROUND(F42*D42,2)</f>
        <v>0</v>
      </c>
    </row>
    <row r="43" spans="1:7" x14ac:dyDescent="0.25">
      <c r="A43" s="187" t="s">
        <v>59</v>
      </c>
      <c r="B43" s="259">
        <v>10</v>
      </c>
      <c r="C43" s="260"/>
      <c r="D43" s="261">
        <f>SUMIF(D28:D39,B43,G28:G39)/100</f>
        <v>92.16</v>
      </c>
      <c r="E43" s="262"/>
      <c r="F43" s="187">
        <v>0.61699999999999999</v>
      </c>
      <c r="G43" s="194">
        <f>ROUND(F43*D43,2)</f>
        <v>56.86</v>
      </c>
    </row>
    <row r="44" spans="1:7" hidden="1" x14ac:dyDescent="0.25">
      <c r="A44" s="187" t="s">
        <v>59</v>
      </c>
      <c r="B44" s="259">
        <v>6.3</v>
      </c>
      <c r="C44" s="260"/>
      <c r="D44" s="261">
        <f>SUMIF(D28:D38,B44,G28:G38)/100</f>
        <v>0</v>
      </c>
      <c r="E44" s="262"/>
      <c r="F44" s="207">
        <v>0.25</v>
      </c>
      <c r="G44" s="194">
        <f>ROUND(F44*D44,2)</f>
        <v>0</v>
      </c>
    </row>
    <row r="45" spans="1:7" x14ac:dyDescent="0.25">
      <c r="A45" s="187" t="s">
        <v>62</v>
      </c>
      <c r="B45" s="259">
        <v>5</v>
      </c>
      <c r="C45" s="260"/>
      <c r="D45" s="261">
        <f>SUMIF(D28:D39,B45,G28:G39)/100</f>
        <v>139.19999999999999</v>
      </c>
      <c r="E45" s="262"/>
      <c r="F45" s="187">
        <v>0.154</v>
      </c>
      <c r="G45" s="194">
        <f t="shared" ref="G45" si="4">ROUND(F45*D45,2)</f>
        <v>21.44</v>
      </c>
    </row>
    <row r="46" spans="1:7" x14ac:dyDescent="0.25">
      <c r="A46" s="188"/>
      <c r="B46" s="48"/>
      <c r="C46" s="48"/>
      <c r="D46" s="48"/>
      <c r="E46" s="48"/>
      <c r="F46" s="50" t="s">
        <v>66</v>
      </c>
      <c r="G46" s="46">
        <f>G43+G42+G44</f>
        <v>56.86</v>
      </c>
    </row>
    <row r="47" spans="1:7" x14ac:dyDescent="0.25">
      <c r="A47" s="188"/>
      <c r="B47" s="48"/>
      <c r="C47" s="48"/>
      <c r="D47" s="48"/>
      <c r="E47" s="48"/>
      <c r="F47" s="50" t="s">
        <v>68</v>
      </c>
      <c r="G47" s="46">
        <f>G45</f>
        <v>21.44</v>
      </c>
    </row>
    <row r="49" spans="1:7" ht="15.75" x14ac:dyDescent="0.25">
      <c r="A49" s="195" t="s">
        <v>396</v>
      </c>
      <c r="B49" s="196"/>
      <c r="C49" s="196"/>
      <c r="D49" s="196"/>
      <c r="E49" s="196"/>
      <c r="F49" s="196"/>
      <c r="G49" s="197"/>
    </row>
    <row r="50" spans="1:7" x14ac:dyDescent="0.25">
      <c r="A50" s="34"/>
      <c r="B50" s="35" t="s">
        <v>53</v>
      </c>
      <c r="C50" s="35" t="s">
        <v>54</v>
      </c>
      <c r="D50" s="35" t="s">
        <v>55</v>
      </c>
      <c r="E50" s="35" t="s">
        <v>18</v>
      </c>
      <c r="F50" s="267" t="s">
        <v>56</v>
      </c>
      <c r="G50" s="267"/>
    </row>
    <row r="51" spans="1:7" x14ac:dyDescent="0.25">
      <c r="A51" s="36"/>
      <c r="B51" s="37"/>
      <c r="C51" s="37"/>
      <c r="D51" s="37"/>
      <c r="E51" s="37"/>
      <c r="F51" s="187" t="s">
        <v>57</v>
      </c>
      <c r="G51" s="187" t="s">
        <v>58</v>
      </c>
    </row>
    <row r="52" spans="1:7" x14ac:dyDescent="0.25">
      <c r="A52" s="198" t="s">
        <v>372</v>
      </c>
      <c r="B52" s="202">
        <v>6</v>
      </c>
      <c r="C52" s="203" t="s">
        <v>86</v>
      </c>
      <c r="D52" s="199"/>
      <c r="E52" s="199"/>
      <c r="F52" s="199"/>
      <c r="G52" s="200"/>
    </row>
    <row r="53" spans="1:7" hidden="1" x14ac:dyDescent="0.25">
      <c r="A53" s="41"/>
      <c r="B53" s="187" t="s">
        <v>59</v>
      </c>
      <c r="C53" s="187" t="s">
        <v>60</v>
      </c>
      <c r="D53" s="46">
        <v>10</v>
      </c>
      <c r="E53" s="187"/>
      <c r="F53" s="187">
        <v>384</v>
      </c>
      <c r="G53" s="187">
        <f>F53*E53</f>
        <v>0</v>
      </c>
    </row>
    <row r="54" spans="1:7" hidden="1" x14ac:dyDescent="0.25">
      <c r="A54" s="41"/>
      <c r="B54" s="187" t="s">
        <v>59</v>
      </c>
      <c r="C54" s="187" t="s">
        <v>61</v>
      </c>
      <c r="D54" s="46">
        <v>5</v>
      </c>
      <c r="E54" s="187"/>
      <c r="F54" s="187">
        <v>116</v>
      </c>
      <c r="G54" s="187">
        <f t="shared" ref="G54:G57" si="5">F54*E54</f>
        <v>0</v>
      </c>
    </row>
    <row r="55" spans="1:7" hidden="1" x14ac:dyDescent="0.25">
      <c r="A55" s="41"/>
      <c r="B55" s="35" t="s">
        <v>62</v>
      </c>
      <c r="C55" s="35" t="s">
        <v>63</v>
      </c>
      <c r="D55" s="42">
        <v>5</v>
      </c>
      <c r="E55" s="187"/>
      <c r="F55" s="35">
        <v>110</v>
      </c>
      <c r="G55" s="187">
        <f t="shared" si="5"/>
        <v>0</v>
      </c>
    </row>
    <row r="56" spans="1:7" hidden="1" x14ac:dyDescent="0.25">
      <c r="A56" s="41"/>
      <c r="B56" s="35" t="s">
        <v>62</v>
      </c>
      <c r="C56" s="35" t="s">
        <v>70</v>
      </c>
      <c r="D56" s="42">
        <v>5</v>
      </c>
      <c r="E56" s="35"/>
      <c r="F56" s="35">
        <v>29</v>
      </c>
      <c r="G56" s="35">
        <f t="shared" si="5"/>
        <v>0</v>
      </c>
    </row>
    <row r="57" spans="1:7" hidden="1" x14ac:dyDescent="0.25">
      <c r="A57" s="41"/>
      <c r="B57" s="35" t="s">
        <v>62</v>
      </c>
      <c r="C57" s="187" t="s">
        <v>71</v>
      </c>
      <c r="D57" s="42">
        <v>5</v>
      </c>
      <c r="E57" s="35"/>
      <c r="F57" s="35">
        <v>109</v>
      </c>
      <c r="G57" s="35">
        <f t="shared" si="5"/>
        <v>0</v>
      </c>
    </row>
    <row r="58" spans="1:7" hidden="1" x14ac:dyDescent="0.25">
      <c r="A58" s="198" t="s">
        <v>371</v>
      </c>
      <c r="B58" s="39"/>
      <c r="C58" s="39"/>
      <c r="D58" s="39"/>
      <c r="E58" s="39"/>
      <c r="F58" s="39"/>
      <c r="G58" s="40"/>
    </row>
    <row r="59" spans="1:7" hidden="1" x14ac:dyDescent="0.25">
      <c r="A59" s="201"/>
      <c r="B59" s="202">
        <v>4</v>
      </c>
      <c r="C59" s="203" t="s">
        <v>86</v>
      </c>
      <c r="D59" s="199"/>
      <c r="E59" s="199"/>
      <c r="F59" s="199"/>
      <c r="G59" s="200"/>
    </row>
    <row r="60" spans="1:7" x14ac:dyDescent="0.25">
      <c r="A60" s="41"/>
      <c r="B60" s="187" t="s">
        <v>59</v>
      </c>
      <c r="C60" s="187"/>
      <c r="D60" s="46">
        <v>12.5</v>
      </c>
      <c r="E60" s="187">
        <f>4*B52</f>
        <v>24</v>
      </c>
      <c r="F60" s="187">
        <v>38</v>
      </c>
      <c r="G60" s="187">
        <f>F60*E60</f>
        <v>912</v>
      </c>
    </row>
    <row r="61" spans="1:7" hidden="1" x14ac:dyDescent="0.25">
      <c r="A61" s="41"/>
      <c r="B61" s="187" t="s">
        <v>59</v>
      </c>
      <c r="C61" s="187" t="s">
        <v>61</v>
      </c>
      <c r="D61" s="46">
        <v>12.5</v>
      </c>
      <c r="E61" s="187"/>
      <c r="F61" s="187">
        <v>140</v>
      </c>
      <c r="G61" s="187">
        <f t="shared" ref="G61:G64" si="6">F61*E61</f>
        <v>0</v>
      </c>
    </row>
    <row r="62" spans="1:7" hidden="1" x14ac:dyDescent="0.25">
      <c r="A62" s="41"/>
      <c r="B62" s="35" t="s">
        <v>62</v>
      </c>
      <c r="C62" s="35" t="s">
        <v>63</v>
      </c>
      <c r="D62" s="42">
        <v>5</v>
      </c>
      <c r="E62" s="187"/>
      <c r="F62" s="35">
        <v>110</v>
      </c>
      <c r="G62" s="187">
        <f t="shared" si="6"/>
        <v>0</v>
      </c>
    </row>
    <row r="63" spans="1:7" hidden="1" x14ac:dyDescent="0.25">
      <c r="A63" s="41"/>
      <c r="B63" s="35" t="s">
        <v>62</v>
      </c>
      <c r="C63" s="35" t="s">
        <v>70</v>
      </c>
      <c r="D63" s="42">
        <v>5</v>
      </c>
      <c r="E63" s="35"/>
      <c r="F63" s="35">
        <v>29</v>
      </c>
      <c r="G63" s="35">
        <f t="shared" si="6"/>
        <v>0</v>
      </c>
    </row>
    <row r="64" spans="1:7" hidden="1" x14ac:dyDescent="0.25">
      <c r="A64" s="41"/>
      <c r="B64" s="35" t="s">
        <v>62</v>
      </c>
      <c r="C64" s="35" t="s">
        <v>71</v>
      </c>
      <c r="D64" s="42">
        <v>5</v>
      </c>
      <c r="E64" s="35"/>
      <c r="F64" s="35">
        <v>109</v>
      </c>
      <c r="G64" s="35">
        <f t="shared" si="6"/>
        <v>0</v>
      </c>
    </row>
    <row r="65" spans="1:7" x14ac:dyDescent="0.25">
      <c r="A65" s="188"/>
      <c r="B65" s="48"/>
      <c r="C65" s="48"/>
      <c r="D65" s="204"/>
      <c r="E65" s="48"/>
      <c r="F65" s="48"/>
      <c r="G65" s="189"/>
    </row>
    <row r="66" spans="1:7" x14ac:dyDescent="0.25">
      <c r="A66" s="37" t="s">
        <v>53</v>
      </c>
      <c r="B66" s="263" t="s">
        <v>55</v>
      </c>
      <c r="C66" s="264"/>
      <c r="D66" s="265" t="s">
        <v>64</v>
      </c>
      <c r="E66" s="266"/>
      <c r="F66" s="205" t="s">
        <v>369</v>
      </c>
      <c r="G66" s="206" t="s">
        <v>65</v>
      </c>
    </row>
    <row r="67" spans="1:7" x14ac:dyDescent="0.25">
      <c r="A67" s="187" t="s">
        <v>59</v>
      </c>
      <c r="B67" s="259">
        <v>12.5</v>
      </c>
      <c r="C67" s="260"/>
      <c r="D67" s="261">
        <f>SUMIF(D53:D64,B67,G53:G64)/100</f>
        <v>9.1199999999999992</v>
      </c>
      <c r="E67" s="262"/>
      <c r="F67" s="207">
        <v>1</v>
      </c>
      <c r="G67" s="194">
        <f>ROUND(F67*D67,2)</f>
        <v>9.1199999999999992</v>
      </c>
    </row>
    <row r="68" spans="1:7" hidden="1" x14ac:dyDescent="0.25">
      <c r="A68" s="187" t="s">
        <v>59</v>
      </c>
      <c r="B68" s="259">
        <v>10</v>
      </c>
      <c r="C68" s="260"/>
      <c r="D68" s="261">
        <f>SUMIF(D53:D64,B68,G53:G64)/100</f>
        <v>0</v>
      </c>
      <c r="E68" s="262"/>
      <c r="F68" s="187">
        <v>0.61699999999999999</v>
      </c>
      <c r="G68" s="194">
        <f>ROUND(F68*D68,2)</f>
        <v>0</v>
      </c>
    </row>
    <row r="69" spans="1:7" hidden="1" x14ac:dyDescent="0.25">
      <c r="A69" s="187" t="s">
        <v>59</v>
      </c>
      <c r="B69" s="259">
        <v>6.3</v>
      </c>
      <c r="C69" s="260"/>
      <c r="D69" s="261">
        <f>SUMIF(D53:D63,B69,G53:G63)/100</f>
        <v>0</v>
      </c>
      <c r="E69" s="262"/>
      <c r="F69" s="207">
        <v>0.25</v>
      </c>
      <c r="G69" s="194">
        <f>ROUND(F69*D69,2)</f>
        <v>0</v>
      </c>
    </row>
    <row r="70" spans="1:7" hidden="1" x14ac:dyDescent="0.25">
      <c r="A70" s="187" t="s">
        <v>62</v>
      </c>
      <c r="B70" s="259">
        <v>5</v>
      </c>
      <c r="C70" s="260"/>
      <c r="D70" s="261">
        <f>SUMIF(D53:D64,B70,G53:G64)/100</f>
        <v>0</v>
      </c>
      <c r="E70" s="262"/>
      <c r="F70" s="187">
        <v>0.154</v>
      </c>
      <c r="G70" s="194">
        <f t="shared" ref="G70" si="7">ROUND(F70*D70,2)</f>
        <v>0</v>
      </c>
    </row>
    <row r="71" spans="1:7" x14ac:dyDescent="0.25">
      <c r="A71" s="188"/>
      <c r="B71" s="48"/>
      <c r="C71" s="48"/>
      <c r="D71" s="48"/>
      <c r="E71" s="48"/>
      <c r="F71" s="50" t="s">
        <v>66</v>
      </c>
      <c r="G71" s="46">
        <f>G68+G67+G69</f>
        <v>9.1199999999999992</v>
      </c>
    </row>
    <row r="72" spans="1:7" hidden="1" x14ac:dyDescent="0.25">
      <c r="A72" s="188"/>
      <c r="B72" s="48"/>
      <c r="C72" s="48"/>
      <c r="D72" s="48"/>
      <c r="E72" s="48"/>
      <c r="F72" s="50" t="s">
        <v>68</v>
      </c>
      <c r="G72" s="46">
        <f>G70</f>
        <v>0</v>
      </c>
    </row>
  </sheetData>
  <sheetProtection algorithmName="SHA-512" hashValue="noThCabdrAF7AlOOtXQJgSkOGthCQq/wYdxVWLFFaJKuL/LhtpnSH6iq65wyXqD5Hn/RMoDsGPwHdK4ciw2byw==" saltValue="QSWpmt3yskW8z/ADIALViA==" spinCount="100000" sheet="1" objects="1" scenarios="1" selectLockedCells="1" selectUnlockedCells="1"/>
  <mergeCells count="29">
    <mergeCell ref="B17:C17"/>
    <mergeCell ref="D17:E17"/>
    <mergeCell ref="F2:G2"/>
    <mergeCell ref="B15:C15"/>
    <mergeCell ref="D15:E15"/>
    <mergeCell ref="B16:C16"/>
    <mergeCell ref="D16:E16"/>
    <mergeCell ref="B66:C66"/>
    <mergeCell ref="D66:E66"/>
    <mergeCell ref="F25:G25"/>
    <mergeCell ref="B41:C41"/>
    <mergeCell ref="D41:E41"/>
    <mergeCell ref="B42:C42"/>
    <mergeCell ref="D42:E42"/>
    <mergeCell ref="B43:C43"/>
    <mergeCell ref="D43:E43"/>
    <mergeCell ref="B44:C44"/>
    <mergeCell ref="D44:E44"/>
    <mergeCell ref="B45:C45"/>
    <mergeCell ref="D45:E45"/>
    <mergeCell ref="F50:G50"/>
    <mergeCell ref="B70:C70"/>
    <mergeCell ref="D70:E70"/>
    <mergeCell ref="B67:C67"/>
    <mergeCell ref="D67:E67"/>
    <mergeCell ref="B68:C68"/>
    <mergeCell ref="D68:E68"/>
    <mergeCell ref="B69:C69"/>
    <mergeCell ref="D69:E69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6"/>
  <sheetViews>
    <sheetView topLeftCell="I1" zoomScale="115" zoomScaleNormal="115" workbookViewId="0">
      <selection activeCell="A9" sqref="A1:H1048576"/>
    </sheetView>
  </sheetViews>
  <sheetFormatPr defaultColWidth="0" defaultRowHeight="15" zeroHeight="1" x14ac:dyDescent="0.25"/>
  <cols>
    <col min="1" max="1" width="9.42578125" style="64" hidden="1" customWidth="1"/>
    <col min="2" max="2" width="8.7109375" style="63" hidden="1" customWidth="1"/>
    <col min="3" max="3" width="10.85546875" style="63" hidden="1" customWidth="1"/>
    <col min="4" max="4" width="49.7109375" style="61" hidden="1" customWidth="1"/>
    <col min="5" max="5" width="2.28515625" style="61" hidden="1" customWidth="1"/>
    <col min="6" max="6" width="10.7109375" style="169" hidden="1" customWidth="1"/>
    <col min="7" max="7" width="9.42578125" style="169" hidden="1" customWidth="1"/>
    <col min="8" max="8" width="2.7109375" style="71" hidden="1" customWidth="1"/>
    <col min="9" max="9" width="2.28515625" style="62" customWidth="1"/>
    <col min="10" max="16384" width="9.140625" style="62" hidden="1"/>
  </cols>
  <sheetData>
    <row r="1" spans="1:9" ht="20.25" x14ac:dyDescent="0.3">
      <c r="A1" s="274"/>
      <c r="B1" s="275"/>
      <c r="C1" s="280" t="s">
        <v>7</v>
      </c>
      <c r="D1" s="281"/>
      <c r="E1" s="281"/>
      <c r="F1" s="281"/>
      <c r="G1" s="281"/>
      <c r="H1" s="282"/>
      <c r="I1" s="72"/>
    </row>
    <row r="2" spans="1:9" x14ac:dyDescent="0.25">
      <c r="A2" s="276"/>
      <c r="B2" s="277"/>
      <c r="C2" s="283" t="s">
        <v>8</v>
      </c>
      <c r="D2" s="284"/>
      <c r="E2" s="284"/>
      <c r="F2" s="284"/>
      <c r="G2" s="284"/>
      <c r="H2" s="285"/>
      <c r="I2" s="72"/>
    </row>
    <row r="3" spans="1:9" x14ac:dyDescent="0.25">
      <c r="A3" s="276"/>
      <c r="B3" s="277"/>
      <c r="C3" s="283" t="s">
        <v>9</v>
      </c>
      <c r="D3" s="284"/>
      <c r="E3" s="284"/>
      <c r="F3" s="284"/>
      <c r="G3" s="284"/>
      <c r="H3" s="285"/>
      <c r="I3" s="72"/>
    </row>
    <row r="4" spans="1:9" x14ac:dyDescent="0.25">
      <c r="A4" s="276"/>
      <c r="B4" s="277"/>
      <c r="C4" s="283" t="s">
        <v>10</v>
      </c>
      <c r="D4" s="284"/>
      <c r="E4" s="284"/>
      <c r="F4" s="284"/>
      <c r="G4" s="284"/>
      <c r="H4" s="285"/>
      <c r="I4" s="72"/>
    </row>
    <row r="5" spans="1:9" x14ac:dyDescent="0.25">
      <c r="A5" s="278"/>
      <c r="B5" s="279"/>
      <c r="C5" s="286" t="s">
        <v>11</v>
      </c>
      <c r="D5" s="287"/>
      <c r="E5" s="287"/>
      <c r="F5" s="287"/>
      <c r="G5" s="287"/>
      <c r="H5" s="288"/>
      <c r="I5" s="72"/>
    </row>
    <row r="6" spans="1:9" x14ac:dyDescent="0.25">
      <c r="A6" s="272" t="s">
        <v>12</v>
      </c>
      <c r="B6" s="272"/>
      <c r="C6" s="272"/>
      <c r="D6" s="272"/>
      <c r="E6" s="272"/>
      <c r="F6" s="272"/>
      <c r="G6" s="272"/>
      <c r="H6" s="272"/>
      <c r="I6" s="72"/>
    </row>
    <row r="7" spans="1:9" x14ac:dyDescent="0.25">
      <c r="A7" s="273" t="str">
        <f>BDI!B7</f>
        <v>OBJETO: PAISAGISMO DA ÁREA EXTERNA DO SALÃO MULTIUSO</v>
      </c>
      <c r="B7" s="273"/>
      <c r="C7" s="273"/>
      <c r="D7" s="273"/>
      <c r="E7" s="273"/>
      <c r="F7" s="273"/>
      <c r="G7" s="273"/>
      <c r="H7" s="273"/>
      <c r="I7" s="72"/>
    </row>
    <row r="8" spans="1:9" x14ac:dyDescent="0.25">
      <c r="A8" s="273" t="str">
        <f>BDI!B8</f>
        <v>LOCAL: SALÃO MULTIUSO, AVENIDA 21 DE MARÇO, 290, BARRA DO TURVO / SP</v>
      </c>
      <c r="B8" s="273"/>
      <c r="C8" s="273"/>
      <c r="D8" s="273"/>
      <c r="E8" s="273"/>
      <c r="F8" s="273"/>
      <c r="G8" s="273"/>
      <c r="H8" s="273"/>
      <c r="I8" s="72"/>
    </row>
    <row r="9" spans="1:9" x14ac:dyDescent="0.25">
      <c r="A9" s="146" t="s">
        <v>0</v>
      </c>
      <c r="B9" s="144" t="s">
        <v>1</v>
      </c>
      <c r="C9" s="144" t="s">
        <v>2</v>
      </c>
      <c r="D9" s="144" t="s">
        <v>13</v>
      </c>
      <c r="E9" s="145"/>
      <c r="F9" s="146" t="s">
        <v>18</v>
      </c>
      <c r="G9" s="146" t="s">
        <v>138</v>
      </c>
      <c r="H9" s="69" t="s">
        <v>82</v>
      </c>
    </row>
    <row r="10" spans="1:9" ht="30" x14ac:dyDescent="0.25">
      <c r="A10" s="153">
        <f>PO!A14</f>
        <v>1</v>
      </c>
      <c r="B10" s="153"/>
      <c r="C10" s="153"/>
      <c r="D10" s="154" t="str">
        <f>PO!D14</f>
        <v>CALÇAMENTO E PAISAGISMO - SALÃO MULTIUSO</v>
      </c>
      <c r="E10" s="147"/>
      <c r="F10" s="163"/>
      <c r="G10" s="163"/>
      <c r="H10" s="70"/>
    </row>
    <row r="11" spans="1:9" x14ac:dyDescent="0.25">
      <c r="A11" s="148" t="str">
        <f>PO!A15</f>
        <v>1.1</v>
      </c>
      <c r="B11" s="148"/>
      <c r="C11" s="148"/>
      <c r="D11" s="148" t="str">
        <f>PO!D15</f>
        <v>PLACA DE OBRA</v>
      </c>
      <c r="E11" s="149"/>
      <c r="F11" s="164"/>
      <c r="G11" s="164"/>
    </row>
    <row r="12" spans="1:9" s="143" customFormat="1" ht="30" x14ac:dyDescent="0.25">
      <c r="A12" s="150" t="str">
        <f>PO!A16</f>
        <v>1.1.1</v>
      </c>
      <c r="B12" s="155" t="str">
        <f>PO!B16</f>
        <v>CDHU-189</v>
      </c>
      <c r="C12" s="151" t="str">
        <f>PO!C16</f>
        <v>02.08.050</v>
      </c>
      <c r="D12" s="152" t="str">
        <f>PO!D16</f>
        <v>Placa em lona com impressão digital e estrutura em madeira</v>
      </c>
      <c r="E12" s="152" t="str">
        <f>PO!E16</f>
        <v>M2</v>
      </c>
      <c r="F12" s="165">
        <f>ROUND(F13*F14,2)</f>
        <v>2</v>
      </c>
      <c r="G12" s="180" t="str">
        <f>E12</f>
        <v>M2</v>
      </c>
      <c r="H12" s="142"/>
    </row>
    <row r="13" spans="1:9" x14ac:dyDescent="0.25">
      <c r="A13" s="156"/>
      <c r="B13" s="157"/>
      <c r="C13" s="157"/>
      <c r="D13" s="158" t="s">
        <v>159</v>
      </c>
      <c r="E13" s="158"/>
      <c r="F13" s="166">
        <v>1</v>
      </c>
      <c r="G13" s="168" t="s">
        <v>50</v>
      </c>
    </row>
    <row r="14" spans="1:9" x14ac:dyDescent="0.25">
      <c r="A14" s="156"/>
      <c r="B14" s="157"/>
      <c r="C14" s="157"/>
      <c r="D14" s="158" t="s">
        <v>158</v>
      </c>
      <c r="E14" s="158"/>
      <c r="F14" s="166">
        <v>2</v>
      </c>
      <c r="G14" s="168" t="s">
        <v>160</v>
      </c>
    </row>
    <row r="15" spans="1:9" x14ac:dyDescent="0.25">
      <c r="A15" s="148" t="str">
        <f>PO!A17</f>
        <v>1.2</v>
      </c>
      <c r="B15" s="148"/>
      <c r="C15" s="148"/>
      <c r="D15" s="148" t="str">
        <f>PO!D17</f>
        <v>SERVIÇOS PRELIMINARES</v>
      </c>
      <c r="E15" s="149">
        <f>PO!E17</f>
        <v>0</v>
      </c>
      <c r="F15" s="164"/>
      <c r="G15" s="164"/>
    </row>
    <row r="16" spans="1:9" s="143" customFormat="1" ht="45" x14ac:dyDescent="0.25">
      <c r="A16" s="150" t="str">
        <f>PO!A18</f>
        <v>1.2.1</v>
      </c>
      <c r="B16" s="155" t="str">
        <f>PO!B18</f>
        <v>CDHU-189</v>
      </c>
      <c r="C16" s="151" t="str">
        <f>PO!C18</f>
        <v>02.09.040</v>
      </c>
      <c r="D16" s="152" t="str">
        <f>PO!D18</f>
        <v>Limpeza mecanizada do terreno, inclusive troncos até 15 cm de diâmetro, com caminhão à disposição dentro e fora da obra, com transporte no raio de até 1 km</v>
      </c>
      <c r="E16" s="152" t="str">
        <f>PO!E18</f>
        <v>M2</v>
      </c>
      <c r="F16" s="165">
        <f>F17</f>
        <v>212.66</v>
      </c>
      <c r="G16" s="180" t="str">
        <f>E16</f>
        <v>M2</v>
      </c>
      <c r="H16" s="142"/>
    </row>
    <row r="17" spans="1:8" s="143" customFormat="1" x14ac:dyDescent="0.25">
      <c r="A17" s="159"/>
      <c r="B17" s="160"/>
      <c r="C17" s="161"/>
      <c r="D17" s="162" t="s">
        <v>161</v>
      </c>
      <c r="E17" s="162"/>
      <c r="F17" s="167">
        <v>212.66</v>
      </c>
      <c r="G17" s="181" t="s">
        <v>49</v>
      </c>
      <c r="H17" s="142"/>
    </row>
    <row r="18" spans="1:8" s="143" customFormat="1" ht="45" x14ac:dyDescent="0.25">
      <c r="A18" s="150" t="str">
        <f>PO!A19</f>
        <v>1.2.2</v>
      </c>
      <c r="B18" s="155" t="str">
        <f>PO!B19</f>
        <v>SINAPI - 02/2023</v>
      </c>
      <c r="C18" s="151">
        <f>PO!C19</f>
        <v>101114</v>
      </c>
      <c r="D18" s="152" t="str">
        <f>PO!D19</f>
        <v>ESCAVAÇÃO HORIZONTAL EM SOLO DE 1A CATEGORIA COM TRATOR DE ESTEIRAS (100HP/LÂMINA: 2,19M3). AF_07/2020</v>
      </c>
      <c r="E18" s="152" t="str">
        <f>PO!E19</f>
        <v>M3</v>
      </c>
      <c r="F18" s="165">
        <f>ROUND(F19*F20,2)</f>
        <v>81.040000000000006</v>
      </c>
      <c r="G18" s="180" t="str">
        <f>E18</f>
        <v>M3</v>
      </c>
      <c r="H18" s="142"/>
    </row>
    <row r="19" spans="1:8" x14ac:dyDescent="0.25">
      <c r="A19" s="156"/>
      <c r="B19" s="156"/>
      <c r="C19" s="156"/>
      <c r="D19" s="156" t="s">
        <v>162</v>
      </c>
      <c r="E19" s="156"/>
      <c r="F19" s="168">
        <v>810.37</v>
      </c>
      <c r="G19" s="168" t="s">
        <v>52</v>
      </c>
    </row>
    <row r="20" spans="1:8" x14ac:dyDescent="0.25">
      <c r="A20" s="156"/>
      <c r="B20" s="156"/>
      <c r="C20" s="156"/>
      <c r="D20" s="156" t="s">
        <v>163</v>
      </c>
      <c r="E20" s="156"/>
      <c r="F20" s="166">
        <v>0.1</v>
      </c>
      <c r="G20" s="168" t="s">
        <v>50</v>
      </c>
    </row>
    <row r="21" spans="1:8" s="143" customFormat="1" ht="90" x14ac:dyDescent="0.25">
      <c r="A21" s="150" t="str">
        <f>PO!A20</f>
        <v>1.2.3</v>
      </c>
      <c r="B21" s="155" t="str">
        <f>PO!B20</f>
        <v>SINAPI - 02/2023</v>
      </c>
      <c r="C21" s="151">
        <f>PO!C20</f>
        <v>100980</v>
      </c>
      <c r="D21" s="152" t="str">
        <f>PO!D20</f>
        <v>CARGA, MANOBRA E DESCARGA DE SOLOS E MATERIAIS GRANULARES EM CAMINHÃO BASCULANTE 18 M³ - CARGA COM ESCAVADEIRA HIDRÁULICA (CAÇAMBA DE 1,20 M³ / 155 HP) E DESCARGA LIVRE (UNIDADE: M3). AF_07/2020</v>
      </c>
      <c r="E21" s="152" t="str">
        <f>PO!E20</f>
        <v>M3</v>
      </c>
      <c r="F21" s="165">
        <f>F22</f>
        <v>81.040000000000006</v>
      </c>
      <c r="G21" s="180" t="str">
        <f>E21</f>
        <v>M3</v>
      </c>
      <c r="H21" s="142"/>
    </row>
    <row r="22" spans="1:8" x14ac:dyDescent="0.25">
      <c r="A22" s="156"/>
      <c r="B22" s="156"/>
      <c r="C22" s="156"/>
      <c r="D22" s="156" t="s">
        <v>164</v>
      </c>
      <c r="E22" s="156"/>
      <c r="F22" s="166">
        <f>F18</f>
        <v>81.040000000000006</v>
      </c>
      <c r="G22" s="168" t="s">
        <v>90</v>
      </c>
    </row>
    <row r="23" spans="1:8" s="143" customFormat="1" ht="75" x14ac:dyDescent="0.25">
      <c r="A23" s="150" t="str">
        <f>PO!A21</f>
        <v>1.2.4</v>
      </c>
      <c r="B23" s="155" t="str">
        <f>PO!B21</f>
        <v>SINAPI - 02/2023</v>
      </c>
      <c r="C23" s="151">
        <f>PO!C21</f>
        <v>95877</v>
      </c>
      <c r="D23" s="152" t="str">
        <f>PO!D21</f>
        <v>TRANSPORTE COM CAMINHÃO BASCULANTE DE 18 M³, EM VIA URBANA PAVIMENTADA, DMT ATÉ 30 KM (UNIDADE: M3XKM). AF_07/2020</v>
      </c>
      <c r="E23" s="152" t="str">
        <f>PO!E21</f>
        <v>M3XKM</v>
      </c>
      <c r="F23" s="165">
        <f>ROUND(F24*F25,2)</f>
        <v>81.040000000000006</v>
      </c>
      <c r="G23" s="180" t="str">
        <f>E23</f>
        <v>M3XKM</v>
      </c>
      <c r="H23" s="142"/>
    </row>
    <row r="24" spans="1:8" x14ac:dyDescent="0.25">
      <c r="A24" s="156"/>
      <c r="B24" s="156"/>
      <c r="C24" s="156"/>
      <c r="D24" s="156" t="str">
        <f>D22</f>
        <v>volume de material escavado</v>
      </c>
      <c r="E24" s="156"/>
      <c r="F24" s="166">
        <f>F22</f>
        <v>81.040000000000006</v>
      </c>
      <c r="G24" s="168" t="s">
        <v>90</v>
      </c>
    </row>
    <row r="25" spans="1:8" x14ac:dyDescent="0.25">
      <c r="A25" s="156"/>
      <c r="B25" s="156"/>
      <c r="C25" s="156"/>
      <c r="D25" s="156" t="s">
        <v>105</v>
      </c>
      <c r="E25" s="156"/>
      <c r="F25" s="168">
        <v>1</v>
      </c>
      <c r="G25" s="168" t="s">
        <v>106</v>
      </c>
    </row>
    <row r="26" spans="1:8" s="143" customFormat="1" ht="30" x14ac:dyDescent="0.25">
      <c r="A26" s="150" t="str">
        <f>PO!A22</f>
        <v>1.2.5</v>
      </c>
      <c r="B26" s="155" t="str">
        <f>PO!B22</f>
        <v>CDHU-189</v>
      </c>
      <c r="C26" s="151" t="str">
        <f>PO!C22</f>
        <v>34.13.011</v>
      </c>
      <c r="D26" s="152" t="str">
        <f>PO!D22</f>
        <v>Corte, recorte e remoção de árvore  inclusive as raízes - diâmetro (DAP)&gt;5cm&lt;15cm</v>
      </c>
      <c r="E26" s="152" t="str">
        <f>PO!E22</f>
        <v>UN</v>
      </c>
      <c r="F26" s="165">
        <f>F27</f>
        <v>1</v>
      </c>
      <c r="G26" s="180" t="str">
        <f>E26</f>
        <v>UN</v>
      </c>
      <c r="H26" s="142"/>
    </row>
    <row r="27" spans="1:8" x14ac:dyDescent="0.25">
      <c r="A27" s="156"/>
      <c r="B27" s="157"/>
      <c r="C27" s="157"/>
      <c r="D27" s="158" t="s">
        <v>165</v>
      </c>
      <c r="E27" s="158"/>
      <c r="F27" s="166">
        <v>1</v>
      </c>
      <c r="G27" s="168" t="s">
        <v>17</v>
      </c>
    </row>
    <row r="28" spans="1:8" s="143" customFormat="1" ht="45" x14ac:dyDescent="0.25">
      <c r="A28" s="150" t="str">
        <f>PO!A23</f>
        <v>1.2.6</v>
      </c>
      <c r="B28" s="155" t="str">
        <f>PO!B23</f>
        <v>CDHU-189</v>
      </c>
      <c r="C28" s="151" t="str">
        <f>PO!C23</f>
        <v>03.01.220</v>
      </c>
      <c r="D28" s="152" t="str">
        <f>PO!D23</f>
        <v>Demolição mecanizada de concreto simples, inclusive fragmentação, carregamento, transporte até 1 quilômetro e descarregamento</v>
      </c>
      <c r="E28" s="152" t="str">
        <f>PO!E23</f>
        <v>M3</v>
      </c>
      <c r="F28" s="165">
        <f>ROUND(F29*F33,2)</f>
        <v>7.49</v>
      </c>
      <c r="G28" s="180" t="str">
        <f>E28</f>
        <v>M3</v>
      </c>
      <c r="H28" s="142"/>
    </row>
    <row r="29" spans="1:8" x14ac:dyDescent="0.25">
      <c r="A29" s="156"/>
      <c r="C29" s="156" t="s">
        <v>197</v>
      </c>
      <c r="D29" s="158"/>
      <c r="E29" s="158"/>
      <c r="F29" s="179">
        <f>ROUND((F30+F31)*F32,2)</f>
        <v>74.930000000000007</v>
      </c>
      <c r="G29" s="182" t="s">
        <v>52</v>
      </c>
    </row>
    <row r="30" spans="1:8" x14ac:dyDescent="0.25">
      <c r="A30" s="156"/>
      <c r="B30" s="157"/>
      <c r="C30" s="157"/>
      <c r="D30" s="158" t="s">
        <v>195</v>
      </c>
      <c r="E30" s="158"/>
      <c r="F30" s="166">
        <v>27.45</v>
      </c>
      <c r="G30" s="168" t="s">
        <v>50</v>
      </c>
    </row>
    <row r="31" spans="1:8" x14ac:dyDescent="0.25">
      <c r="A31" s="156"/>
      <c r="B31" s="157"/>
      <c r="C31" s="157"/>
      <c r="D31" s="158" t="s">
        <v>196</v>
      </c>
      <c r="E31" s="158"/>
      <c r="F31" s="166">
        <v>22.5</v>
      </c>
      <c r="G31" s="168" t="s">
        <v>50</v>
      </c>
    </row>
    <row r="32" spans="1:8" x14ac:dyDescent="0.25">
      <c r="A32" s="156"/>
      <c r="B32" s="157"/>
      <c r="C32" s="157"/>
      <c r="D32" s="158" t="s">
        <v>89</v>
      </c>
      <c r="E32" s="158"/>
      <c r="F32" s="166">
        <v>1.5</v>
      </c>
      <c r="G32" s="168" t="s">
        <v>50</v>
      </c>
    </row>
    <row r="33" spans="1:8" x14ac:dyDescent="0.25">
      <c r="A33" s="156"/>
      <c r="B33" s="157"/>
      <c r="C33" s="156" t="s">
        <v>198</v>
      </c>
      <c r="D33" s="158"/>
      <c r="E33" s="158"/>
      <c r="F33" s="179">
        <v>0.1</v>
      </c>
      <c r="G33" s="182" t="s">
        <v>50</v>
      </c>
    </row>
    <row r="34" spans="1:8" x14ac:dyDescent="0.25">
      <c r="A34" s="148" t="str">
        <f>PO!A24</f>
        <v>1.3</v>
      </c>
      <c r="B34" s="148"/>
      <c r="C34" s="148"/>
      <c r="D34" s="148" t="str">
        <f>PO!D24</f>
        <v>PASSEIO</v>
      </c>
      <c r="E34" s="149">
        <f>PO!E24</f>
        <v>0</v>
      </c>
      <c r="F34" s="164"/>
      <c r="G34" s="164"/>
    </row>
    <row r="35" spans="1:8" s="143" customFormat="1" ht="45" x14ac:dyDescent="0.25">
      <c r="A35" s="150" t="str">
        <f>PO!A25</f>
        <v>1.3.1</v>
      </c>
      <c r="B35" s="155" t="str">
        <f>PO!B25</f>
        <v>COMPOSIÇÃO</v>
      </c>
      <c r="C35" s="155" t="str">
        <f>PO!C25</f>
        <v>PMBT.23.001</v>
      </c>
      <c r="D35" s="152" t="str">
        <f>PO!D25</f>
        <v>Pavimentação em lajota retangular de concreto 35 MPa, espessura 6 cm, cor natural, com lastro e rejunte em pó de pedra</v>
      </c>
      <c r="E35" s="152" t="str">
        <f>PO!E25</f>
        <v>M2</v>
      </c>
      <c r="F35" s="165">
        <f>F36</f>
        <v>941.38</v>
      </c>
      <c r="G35" s="180" t="str">
        <f>E35</f>
        <v>M2</v>
      </c>
      <c r="H35" s="142"/>
    </row>
    <row r="36" spans="1:8" s="143" customFormat="1" x14ac:dyDescent="0.25">
      <c r="A36" s="159"/>
      <c r="B36" s="160"/>
      <c r="C36" s="160"/>
      <c r="D36" s="162" t="s">
        <v>202</v>
      </c>
      <c r="E36" s="162"/>
      <c r="F36" s="167">
        <v>941.38</v>
      </c>
      <c r="G36" s="181" t="s">
        <v>49</v>
      </c>
      <c r="H36" s="142"/>
    </row>
    <row r="37" spans="1:8" s="143" customFormat="1" ht="45" x14ac:dyDescent="0.25">
      <c r="A37" s="150" t="str">
        <f>PO!A26</f>
        <v>1.3.2</v>
      </c>
      <c r="B37" s="155" t="str">
        <f>PO!B26</f>
        <v>COMPOSIÇÃO</v>
      </c>
      <c r="C37" s="155" t="str">
        <f>PO!C26</f>
        <v>PMBT.23.002</v>
      </c>
      <c r="D37" s="152" t="str">
        <f>PO!D26</f>
        <v>Pavimentação em lajota retangular de concreto 35 MPa, espessura 6 cm, colorido, com lastro e rejunte em pó de pedra</v>
      </c>
      <c r="E37" s="152" t="str">
        <f>PO!E26</f>
        <v>M2</v>
      </c>
      <c r="F37" s="165">
        <f>SUM(F38:F39)</f>
        <v>137.43</v>
      </c>
      <c r="G37" s="180" t="str">
        <f>E37</f>
        <v>M2</v>
      </c>
      <c r="H37" s="142"/>
    </row>
    <row r="38" spans="1:8" x14ac:dyDescent="0.25">
      <c r="A38" s="156"/>
      <c r="B38" s="157"/>
      <c r="C38" s="157"/>
      <c r="D38" s="158" t="s">
        <v>203</v>
      </c>
      <c r="E38" s="158"/>
      <c r="F38" s="166">
        <v>77.87</v>
      </c>
      <c r="G38" s="168" t="s">
        <v>52</v>
      </c>
    </row>
    <row r="39" spans="1:8" x14ac:dyDescent="0.25">
      <c r="A39" s="156"/>
      <c r="B39" s="157"/>
      <c r="C39" s="157"/>
      <c r="D39" s="158" t="s">
        <v>204</v>
      </c>
      <c r="E39" s="158"/>
      <c r="F39" s="166">
        <v>59.56</v>
      </c>
      <c r="G39" s="168" t="s">
        <v>52</v>
      </c>
    </row>
    <row r="40" spans="1:8" x14ac:dyDescent="0.25">
      <c r="A40" s="148" t="str">
        <f>PO!A27</f>
        <v>1.4</v>
      </c>
      <c r="B40" s="148"/>
      <c r="C40" s="148"/>
      <c r="D40" s="148" t="str">
        <f>PO!D27</f>
        <v>VEGETAÇÃO</v>
      </c>
      <c r="E40" s="149">
        <f>PO!E27</f>
        <v>0</v>
      </c>
      <c r="F40" s="164"/>
      <c r="G40" s="164"/>
    </row>
    <row r="41" spans="1:8" s="143" customFormat="1" ht="30" x14ac:dyDescent="0.25">
      <c r="A41" s="150" t="str">
        <f>PO!A28</f>
        <v>1.4.1</v>
      </c>
      <c r="B41" s="155" t="str">
        <f>PO!B28</f>
        <v>CDHU-189</v>
      </c>
      <c r="C41" s="155" t="str">
        <f>PO!C28</f>
        <v>34.02.100</v>
      </c>
      <c r="D41" s="152" t="str">
        <f>PO!D28</f>
        <v>Plantio de grama esmeralda em placas (jardins e canteiros)</v>
      </c>
      <c r="E41" s="152" t="str">
        <f>PO!E28</f>
        <v>M2</v>
      </c>
      <c r="F41" s="165">
        <f>F42</f>
        <v>393.75</v>
      </c>
      <c r="G41" s="180" t="str">
        <f>E41</f>
        <v>M2</v>
      </c>
      <c r="H41" s="142"/>
    </row>
    <row r="42" spans="1:8" s="143" customFormat="1" x14ac:dyDescent="0.25">
      <c r="A42" s="159"/>
      <c r="B42" s="160"/>
      <c r="C42" s="160"/>
      <c r="D42" s="162" t="s">
        <v>217</v>
      </c>
      <c r="E42" s="162"/>
      <c r="F42" s="167">
        <f>aux!D7</f>
        <v>393.75</v>
      </c>
      <c r="G42" s="181" t="s">
        <v>52</v>
      </c>
      <c r="H42" s="142"/>
    </row>
    <row r="43" spans="1:8" s="143" customFormat="1" ht="30" x14ac:dyDescent="0.25">
      <c r="A43" s="150" t="str">
        <f>PO!A29</f>
        <v>1.4.2</v>
      </c>
      <c r="B43" s="155" t="str">
        <f>PO!B29</f>
        <v>CDHU-189</v>
      </c>
      <c r="C43" s="155" t="str">
        <f>PO!C29</f>
        <v>34.03.020</v>
      </c>
      <c r="D43" s="152" t="str">
        <f>PO!D29</f>
        <v>Arbusto Azaléa - h= 0,60 a 0,80 m</v>
      </c>
      <c r="E43" s="152" t="str">
        <f>PO!E29</f>
        <v>UN</v>
      </c>
      <c r="F43" s="165">
        <f>F44</f>
        <v>45</v>
      </c>
      <c r="G43" s="180" t="str">
        <f>E43</f>
        <v>UN</v>
      </c>
      <c r="H43" s="142"/>
    </row>
    <row r="44" spans="1:8" s="143" customFormat="1" x14ac:dyDescent="0.25">
      <c r="A44" s="159"/>
      <c r="B44" s="160"/>
      <c r="C44" s="160"/>
      <c r="D44" s="162" t="s">
        <v>218</v>
      </c>
      <c r="E44" s="162"/>
      <c r="F44" s="167">
        <v>45</v>
      </c>
      <c r="G44" s="181" t="s">
        <v>17</v>
      </c>
      <c r="H44" s="142"/>
    </row>
    <row r="45" spans="1:8" s="143" customFormat="1" ht="30" x14ac:dyDescent="0.25">
      <c r="A45" s="150" t="str">
        <f>PO!A30</f>
        <v>1.4.3</v>
      </c>
      <c r="B45" s="155" t="str">
        <f>PO!B30</f>
        <v>CDHU-189</v>
      </c>
      <c r="C45" s="155" t="str">
        <f>PO!C30</f>
        <v>34.04.130</v>
      </c>
      <c r="D45" s="152" t="str">
        <f>PO!D30</f>
        <v>Árvore ornamental tipo Ipê Amarelo - h= 2,00 m</v>
      </c>
      <c r="E45" s="152" t="str">
        <f>PO!E30</f>
        <v>UN</v>
      </c>
      <c r="F45" s="165">
        <f>F46</f>
        <v>10</v>
      </c>
      <c r="G45" s="180" t="str">
        <f>E45</f>
        <v>UN</v>
      </c>
      <c r="H45" s="142"/>
    </row>
    <row r="46" spans="1:8" s="143" customFormat="1" x14ac:dyDescent="0.25">
      <c r="A46" s="159"/>
      <c r="B46" s="160"/>
      <c r="C46" s="160"/>
      <c r="D46" s="162" t="s">
        <v>219</v>
      </c>
      <c r="E46" s="162"/>
      <c r="F46" s="167">
        <v>10</v>
      </c>
      <c r="G46" s="181" t="s">
        <v>17</v>
      </c>
      <c r="H46" s="142"/>
    </row>
    <row r="47" spans="1:8" s="143" customFormat="1" ht="45" x14ac:dyDescent="0.25">
      <c r="A47" s="150" t="str">
        <f>PO!A31</f>
        <v>1.4.4</v>
      </c>
      <c r="B47" s="155" t="str">
        <f>PO!B31</f>
        <v>SINAPI - 02/2023</v>
      </c>
      <c r="C47" s="155">
        <f>PO!C31</f>
        <v>98511</v>
      </c>
      <c r="D47" s="152" t="str">
        <f>PO!D31</f>
        <v>PLANTIO DE ÁRVORE ORNAMENTAL COM ALTURA DE MUDA MAIOR QUE 2,00 M E MENOR OU IGUAL A 4,00 M. AF_05/2018</v>
      </c>
      <c r="E47" s="152" t="str">
        <f>PO!E31</f>
        <v>UN</v>
      </c>
      <c r="F47" s="165">
        <f>F48</f>
        <v>13</v>
      </c>
      <c r="G47" s="180" t="str">
        <f>E47</f>
        <v>UN</v>
      </c>
      <c r="H47" s="142"/>
    </row>
    <row r="48" spans="1:8" s="143" customFormat="1" x14ac:dyDescent="0.25">
      <c r="A48" s="159"/>
      <c r="B48" s="160"/>
      <c r="C48" s="160"/>
      <c r="D48" s="162" t="s">
        <v>220</v>
      </c>
      <c r="E48" s="162"/>
      <c r="F48" s="167">
        <v>13</v>
      </c>
      <c r="G48" s="181" t="s">
        <v>17</v>
      </c>
      <c r="H48" s="142"/>
    </row>
    <row r="49" spans="1:8" x14ac:dyDescent="0.25">
      <c r="A49" s="148" t="str">
        <f>PO!A32</f>
        <v>1.5</v>
      </c>
      <c r="B49" s="148"/>
      <c r="C49" s="148"/>
      <c r="D49" s="148" t="str">
        <f>PO!D32</f>
        <v>INSTALAÇÕES ELÉTRICAS</v>
      </c>
      <c r="E49" s="149">
        <f>PO!E32</f>
        <v>0</v>
      </c>
      <c r="F49" s="164"/>
      <c r="G49" s="164"/>
    </row>
    <row r="50" spans="1:8" s="143" customFormat="1" ht="30" x14ac:dyDescent="0.25">
      <c r="A50" s="150" t="str">
        <f>PO!A33</f>
        <v>1.5.1</v>
      </c>
      <c r="B50" s="155" t="str">
        <f>PO!B33</f>
        <v>CDHU-189</v>
      </c>
      <c r="C50" s="155" t="str">
        <f>PO!C33</f>
        <v>68.01.600</v>
      </c>
      <c r="D50" s="152" t="str">
        <f>PO!D33</f>
        <v>Poste de concreto circular, 200 kg, H = 7,00 m</v>
      </c>
      <c r="E50" s="152" t="str">
        <f>PO!E33</f>
        <v>UN</v>
      </c>
      <c r="F50" s="165">
        <f>F51</f>
        <v>1</v>
      </c>
      <c r="G50" s="180" t="str">
        <f>E50</f>
        <v>UN</v>
      </c>
      <c r="H50" s="142"/>
    </row>
    <row r="51" spans="1:8" s="143" customFormat="1" x14ac:dyDescent="0.25">
      <c r="A51" s="159"/>
      <c r="B51" s="160"/>
      <c r="C51" s="160"/>
      <c r="D51" s="162" t="s">
        <v>291</v>
      </c>
      <c r="E51" s="162"/>
      <c r="F51" s="167">
        <v>1</v>
      </c>
      <c r="G51" s="181" t="s">
        <v>17</v>
      </c>
      <c r="H51" s="142"/>
    </row>
    <row r="52" spans="1:8" s="143" customFormat="1" ht="30" x14ac:dyDescent="0.25">
      <c r="A52" s="150" t="str">
        <f>PO!A34</f>
        <v>1.5.2</v>
      </c>
      <c r="B52" s="155" t="str">
        <f>PO!B34</f>
        <v>CDHU-189</v>
      </c>
      <c r="C52" s="155" t="str">
        <f>PO!C34</f>
        <v>36.03.010</v>
      </c>
      <c r="D52" s="152" t="str">
        <f>PO!D34</f>
        <v>Caixa de medição tipo II (300 x 560 x 200) mm, padrão concessionárias</v>
      </c>
      <c r="E52" s="152" t="str">
        <f>PO!E34</f>
        <v>UN</v>
      </c>
      <c r="F52" s="165">
        <f>F53</f>
        <v>1</v>
      </c>
      <c r="G52" s="180" t="str">
        <f>E52</f>
        <v>UN</v>
      </c>
      <c r="H52" s="142"/>
    </row>
    <row r="53" spans="1:8" s="143" customFormat="1" x14ac:dyDescent="0.25">
      <c r="A53" s="159"/>
      <c r="B53" s="160"/>
      <c r="C53" s="160"/>
      <c r="D53" s="162" t="s">
        <v>292</v>
      </c>
      <c r="E53" s="162"/>
      <c r="F53" s="167">
        <v>1</v>
      </c>
      <c r="G53" s="181" t="s">
        <v>17</v>
      </c>
      <c r="H53" s="142"/>
    </row>
    <row r="54" spans="1:8" s="143" customFormat="1" ht="30" x14ac:dyDescent="0.25">
      <c r="A54" s="150" t="str">
        <f>PO!A35</f>
        <v>1.5.3</v>
      </c>
      <c r="B54" s="155" t="str">
        <f>PO!B35</f>
        <v>CDHU-189</v>
      </c>
      <c r="C54" s="155" t="str">
        <f>PO!C35</f>
        <v>37.13.660</v>
      </c>
      <c r="D54" s="152" t="str">
        <f>PO!D35</f>
        <v>Disjuntor termomagnético, tripolar 220/380 V, corrente de 60 A até 100 A</v>
      </c>
      <c r="E54" s="152" t="str">
        <f>PO!E35</f>
        <v>UN</v>
      </c>
      <c r="F54" s="165">
        <f>F55</f>
        <v>1</v>
      </c>
      <c r="G54" s="180" t="str">
        <f>E54</f>
        <v>UN</v>
      </c>
      <c r="H54" s="142"/>
    </row>
    <row r="55" spans="1:8" s="143" customFormat="1" x14ac:dyDescent="0.25">
      <c r="A55" s="159"/>
      <c r="B55" s="160"/>
      <c r="C55" s="160"/>
      <c r="D55" s="162" t="s">
        <v>293</v>
      </c>
      <c r="E55" s="162"/>
      <c r="F55" s="167">
        <v>1</v>
      </c>
      <c r="G55" s="181" t="s">
        <v>294</v>
      </c>
      <c r="H55" s="142"/>
    </row>
    <row r="56" spans="1:8" s="143" customFormat="1" ht="30" x14ac:dyDescent="0.25">
      <c r="A56" s="150" t="str">
        <f>PO!A36</f>
        <v>1.5.4</v>
      </c>
      <c r="B56" s="155" t="str">
        <f>PO!B36</f>
        <v>CDHU-189</v>
      </c>
      <c r="C56" s="155" t="str">
        <f>PO!C36</f>
        <v>68.20.120</v>
      </c>
      <c r="D56" s="152" t="str">
        <f>PO!D36</f>
        <v>Bengala em PVC para ramal de entrada, diâmetro de 32 mm</v>
      </c>
      <c r="E56" s="152" t="str">
        <f>PO!E36</f>
        <v>UN</v>
      </c>
      <c r="F56" s="165">
        <f>F57</f>
        <v>2</v>
      </c>
      <c r="G56" s="180" t="str">
        <f>E56</f>
        <v>UN</v>
      </c>
      <c r="H56" s="142"/>
    </row>
    <row r="57" spans="1:8" s="143" customFormat="1" x14ac:dyDescent="0.25">
      <c r="A57" s="159"/>
      <c r="B57" s="160"/>
      <c r="C57" s="160"/>
      <c r="D57" s="162" t="s">
        <v>295</v>
      </c>
      <c r="E57" s="162"/>
      <c r="F57" s="167">
        <v>2</v>
      </c>
      <c r="G57" s="181" t="s">
        <v>17</v>
      </c>
      <c r="H57" s="142"/>
    </row>
    <row r="58" spans="1:8" s="143" customFormat="1" ht="30" x14ac:dyDescent="0.25">
      <c r="A58" s="150" t="str">
        <f>PO!A37</f>
        <v>1.5.5</v>
      </c>
      <c r="B58" s="155" t="str">
        <f>PO!B37</f>
        <v>CDHU-189</v>
      </c>
      <c r="C58" s="155" t="str">
        <f>PO!C37</f>
        <v>38.01.040</v>
      </c>
      <c r="D58" s="152" t="str">
        <f>PO!D37</f>
        <v>Eletroduto de PVC rígido roscável de 3/4´ - com acessórios</v>
      </c>
      <c r="E58" s="152" t="str">
        <f>PO!E37</f>
        <v>M</v>
      </c>
      <c r="F58" s="165">
        <f>F59</f>
        <v>4</v>
      </c>
      <c r="G58" s="180" t="str">
        <f>E58</f>
        <v>M</v>
      </c>
      <c r="H58" s="142"/>
    </row>
    <row r="59" spans="1:8" s="143" customFormat="1" x14ac:dyDescent="0.25">
      <c r="A59" s="159"/>
      <c r="B59" s="160"/>
      <c r="C59" s="160"/>
      <c r="D59" s="162" t="s">
        <v>297</v>
      </c>
      <c r="E59" s="162"/>
      <c r="F59" s="167">
        <v>4</v>
      </c>
      <c r="G59" s="181" t="s">
        <v>50</v>
      </c>
      <c r="H59" s="142"/>
    </row>
    <row r="60" spans="1:8" s="143" customFormat="1" ht="30" x14ac:dyDescent="0.25">
      <c r="A60" s="150" t="str">
        <f>PO!A38</f>
        <v>1.5.6</v>
      </c>
      <c r="B60" s="155" t="str">
        <f>PO!B38</f>
        <v>CDHU-189</v>
      </c>
      <c r="C60" s="155" t="str">
        <f>PO!C38</f>
        <v>38.01.060</v>
      </c>
      <c r="D60" s="152" t="str">
        <f>PO!D38</f>
        <v>Eletroduto de PVC rígido roscável de 1´ - com acessórios</v>
      </c>
      <c r="E60" s="152" t="str">
        <f>PO!E38</f>
        <v>M</v>
      </c>
      <c r="F60" s="165">
        <f>F61</f>
        <v>4</v>
      </c>
      <c r="G60" s="180" t="str">
        <f>E60</f>
        <v>M</v>
      </c>
      <c r="H60" s="142"/>
    </row>
    <row r="61" spans="1:8" s="143" customFormat="1" x14ac:dyDescent="0.25">
      <c r="A61" s="159"/>
      <c r="B61" s="160"/>
      <c r="C61" s="160"/>
      <c r="D61" s="162" t="s">
        <v>296</v>
      </c>
      <c r="E61" s="162"/>
      <c r="F61" s="167">
        <v>4</v>
      </c>
      <c r="G61" s="181" t="s">
        <v>50</v>
      </c>
      <c r="H61" s="142"/>
    </row>
    <row r="62" spans="1:8" s="143" customFormat="1" ht="30" x14ac:dyDescent="0.25">
      <c r="A62" s="150" t="str">
        <f>PO!A39</f>
        <v>1.5.7</v>
      </c>
      <c r="B62" s="155" t="str">
        <f>PO!B39</f>
        <v>CDHU-189</v>
      </c>
      <c r="C62" s="155" t="str">
        <f>PO!C39</f>
        <v>39.21.060</v>
      </c>
      <c r="D62" s="152" t="str">
        <f>PO!D39</f>
        <v>Cabo de cobre flexível de 16 mm², isolamento 0,6/1kV - isolação HEPR 90°C</v>
      </c>
      <c r="E62" s="152" t="str">
        <f>PO!E39</f>
        <v>M</v>
      </c>
      <c r="F62" s="165">
        <f>SUM(F63:F70)</f>
        <v>178.48</v>
      </c>
      <c r="G62" s="180" t="str">
        <f>E62</f>
        <v>M</v>
      </c>
      <c r="H62" s="142"/>
    </row>
    <row r="63" spans="1:8" s="143" customFormat="1" x14ac:dyDescent="0.25">
      <c r="A63" s="159"/>
      <c r="B63" s="160"/>
      <c r="C63" s="186" t="s">
        <v>301</v>
      </c>
      <c r="D63" s="162"/>
      <c r="E63" s="162"/>
      <c r="F63" s="167"/>
      <c r="G63" s="181"/>
      <c r="H63" s="142"/>
    </row>
    <row r="64" spans="1:8" s="143" customFormat="1" x14ac:dyDescent="0.25">
      <c r="A64" s="159"/>
      <c r="B64" s="160"/>
      <c r="C64" s="160"/>
      <c r="D64" s="162" t="s">
        <v>298</v>
      </c>
      <c r="E64" s="162"/>
      <c r="F64" s="167">
        <v>18</v>
      </c>
      <c r="G64" s="181" t="s">
        <v>50</v>
      </c>
      <c r="H64" s="142"/>
    </row>
    <row r="65" spans="1:8" s="143" customFormat="1" x14ac:dyDescent="0.25">
      <c r="A65" s="159"/>
      <c r="B65" s="160"/>
      <c r="C65" s="160"/>
      <c r="D65" s="162" t="s">
        <v>299</v>
      </c>
      <c r="E65" s="162"/>
      <c r="F65" s="167">
        <v>6</v>
      </c>
      <c r="G65" s="181" t="s">
        <v>50</v>
      </c>
      <c r="H65" s="142"/>
    </row>
    <row r="66" spans="1:8" s="143" customFormat="1" x14ac:dyDescent="0.25">
      <c r="A66" s="159"/>
      <c r="B66" s="160"/>
      <c r="C66" s="160"/>
      <c r="D66" s="162" t="s">
        <v>300</v>
      </c>
      <c r="E66" s="162"/>
      <c r="F66" s="167">
        <v>3</v>
      </c>
      <c r="G66" s="181" t="s">
        <v>50</v>
      </c>
      <c r="H66" s="142"/>
    </row>
    <row r="67" spans="1:8" s="143" customFormat="1" x14ac:dyDescent="0.25">
      <c r="A67" s="159"/>
      <c r="B67" s="160"/>
      <c r="C67" s="159" t="s">
        <v>302</v>
      </c>
      <c r="D67" s="162"/>
      <c r="E67" s="162"/>
      <c r="F67" s="167"/>
      <c r="G67" s="181"/>
      <c r="H67" s="142"/>
    </row>
    <row r="68" spans="1:8" s="143" customFormat="1" x14ac:dyDescent="0.25">
      <c r="A68" s="159"/>
      <c r="B68" s="160"/>
      <c r="C68" s="160"/>
      <c r="D68" s="162" t="s">
        <v>298</v>
      </c>
      <c r="E68" s="162"/>
      <c r="F68" s="167">
        <v>75.739999999999995</v>
      </c>
      <c r="G68" s="181" t="s">
        <v>50</v>
      </c>
      <c r="H68" s="142"/>
    </row>
    <row r="69" spans="1:8" s="143" customFormat="1" x14ac:dyDescent="0.25">
      <c r="A69" s="159"/>
      <c r="B69" s="160"/>
      <c r="C69" s="160"/>
      <c r="D69" s="162" t="s">
        <v>299</v>
      </c>
      <c r="E69" s="162"/>
      <c r="F69" s="167">
        <v>37.869999999999997</v>
      </c>
      <c r="G69" s="181" t="s">
        <v>50</v>
      </c>
      <c r="H69" s="142"/>
    </row>
    <row r="70" spans="1:8" s="143" customFormat="1" x14ac:dyDescent="0.25">
      <c r="A70" s="159"/>
      <c r="B70" s="160"/>
      <c r="C70" s="160"/>
      <c r="D70" s="162" t="s">
        <v>300</v>
      </c>
      <c r="E70" s="162"/>
      <c r="F70" s="167">
        <v>37.869999999999997</v>
      </c>
      <c r="G70" s="181" t="s">
        <v>50</v>
      </c>
      <c r="H70" s="142"/>
    </row>
    <row r="71" spans="1:8" s="143" customFormat="1" ht="30" x14ac:dyDescent="0.25">
      <c r="A71" s="150" t="str">
        <f>PO!A40</f>
        <v>1.5.8</v>
      </c>
      <c r="B71" s="155" t="str">
        <f>PO!B40</f>
        <v>CDHU-189</v>
      </c>
      <c r="C71" s="155" t="str">
        <f>PO!C40</f>
        <v>42.05.310</v>
      </c>
      <c r="D71" s="152" t="str">
        <f>PO!D40</f>
        <v>Caixa de inspeção do terra cilíndrica em PVC rígido, diâmetro de 300 mm - h= 250 mm</v>
      </c>
      <c r="E71" s="152" t="str">
        <f>PO!E40</f>
        <v>UN</v>
      </c>
      <c r="F71" s="165">
        <f>F72</f>
        <v>1</v>
      </c>
      <c r="G71" s="180" t="str">
        <f>E71</f>
        <v>UN</v>
      </c>
      <c r="H71" s="142"/>
    </row>
    <row r="72" spans="1:8" s="143" customFormat="1" x14ac:dyDescent="0.25">
      <c r="A72" s="159"/>
      <c r="B72" s="160"/>
      <c r="C72" s="160"/>
      <c r="D72" s="162" t="s">
        <v>303</v>
      </c>
      <c r="E72" s="162"/>
      <c r="F72" s="167">
        <v>1</v>
      </c>
      <c r="G72" s="181" t="s">
        <v>17</v>
      </c>
      <c r="H72" s="142"/>
    </row>
    <row r="73" spans="1:8" s="143" customFormat="1" ht="30" x14ac:dyDescent="0.25">
      <c r="A73" s="150" t="str">
        <f>PO!A41</f>
        <v>1.5.9</v>
      </c>
      <c r="B73" s="155" t="str">
        <f>PO!B41</f>
        <v>CDHU-189</v>
      </c>
      <c r="C73" s="155" t="str">
        <f>PO!C41</f>
        <v>42.05.200</v>
      </c>
      <c r="D73" s="152" t="str">
        <f>PO!D41</f>
        <v>Haste de aterramento de 5/8´ x 2,4 m</v>
      </c>
      <c r="E73" s="152" t="str">
        <f>PO!E41</f>
        <v>UN</v>
      </c>
      <c r="F73" s="165">
        <f>F74</f>
        <v>1</v>
      </c>
      <c r="G73" s="180" t="str">
        <f>E73</f>
        <v>UN</v>
      </c>
      <c r="H73" s="142"/>
    </row>
    <row r="74" spans="1:8" s="143" customFormat="1" x14ac:dyDescent="0.25">
      <c r="A74" s="159"/>
      <c r="B74" s="160"/>
      <c r="C74" s="160"/>
      <c r="D74" s="162" t="s">
        <v>304</v>
      </c>
      <c r="E74" s="162"/>
      <c r="F74" s="167">
        <v>1</v>
      </c>
      <c r="G74" s="181" t="s">
        <v>17</v>
      </c>
      <c r="H74" s="142"/>
    </row>
    <row r="75" spans="1:8" s="143" customFormat="1" ht="30" x14ac:dyDescent="0.25">
      <c r="A75" s="150" t="str">
        <f>PO!A42</f>
        <v>1.5.10</v>
      </c>
      <c r="B75" s="155" t="str">
        <f>PO!B42</f>
        <v>CDHU-189</v>
      </c>
      <c r="C75" s="155" t="str">
        <f>PO!C42</f>
        <v>36.04.070</v>
      </c>
      <c r="D75" s="152" t="str">
        <f>PO!D42</f>
        <v>Suporte para 4 isoladores de baixa tensão</v>
      </c>
      <c r="E75" s="152" t="str">
        <f>PO!E42</f>
        <v>UN</v>
      </c>
      <c r="F75" s="165">
        <f>F76</f>
        <v>1</v>
      </c>
      <c r="G75" s="180" t="str">
        <f>E75</f>
        <v>UN</v>
      </c>
      <c r="H75" s="142"/>
    </row>
    <row r="76" spans="1:8" s="143" customFormat="1" x14ac:dyDescent="0.25">
      <c r="A76" s="159"/>
      <c r="B76" s="160"/>
      <c r="C76" s="160"/>
      <c r="D76" s="162" t="s">
        <v>305</v>
      </c>
      <c r="E76" s="162"/>
      <c r="F76" s="167">
        <v>1</v>
      </c>
      <c r="G76" s="181" t="s">
        <v>17</v>
      </c>
      <c r="H76" s="142"/>
    </row>
    <row r="77" spans="1:8" s="143" customFormat="1" ht="30" x14ac:dyDescent="0.25">
      <c r="A77" s="150" t="str">
        <f>PO!A43</f>
        <v>1.5.11</v>
      </c>
      <c r="B77" s="155" t="str">
        <f>PO!B43</f>
        <v>CDHU-189</v>
      </c>
      <c r="C77" s="155" t="str">
        <f>PO!C43</f>
        <v>36.04.010</v>
      </c>
      <c r="D77" s="152" t="str">
        <f>PO!D43</f>
        <v>Suporte para 1 isolador de baixa tensão</v>
      </c>
      <c r="E77" s="152" t="str">
        <f>PO!E43</f>
        <v>UN</v>
      </c>
      <c r="F77" s="165">
        <f>F78</f>
        <v>1</v>
      </c>
      <c r="G77" s="180" t="str">
        <f>E77</f>
        <v>UN</v>
      </c>
      <c r="H77" s="142"/>
    </row>
    <row r="78" spans="1:8" s="143" customFormat="1" x14ac:dyDescent="0.25">
      <c r="A78" s="159"/>
      <c r="B78" s="160"/>
      <c r="C78" s="160"/>
      <c r="D78" s="162" t="s">
        <v>306</v>
      </c>
      <c r="E78" s="162"/>
      <c r="F78" s="167">
        <v>1</v>
      </c>
      <c r="G78" s="181" t="s">
        <v>17</v>
      </c>
      <c r="H78" s="142"/>
    </row>
    <row r="79" spans="1:8" s="143" customFormat="1" ht="30" x14ac:dyDescent="0.25">
      <c r="A79" s="150" t="str">
        <f>PO!A44</f>
        <v>1.5.12</v>
      </c>
      <c r="B79" s="155" t="str">
        <f>PO!B44</f>
        <v>CDHU-189</v>
      </c>
      <c r="C79" s="155" t="str">
        <f>PO!C44</f>
        <v>36.05.010</v>
      </c>
      <c r="D79" s="152" t="str">
        <f>PO!D44</f>
        <v>Isolador tipo roldana para baixa tensão de 76 x 79 mm</v>
      </c>
      <c r="E79" s="152" t="str">
        <f>PO!E44</f>
        <v>UN</v>
      </c>
      <c r="F79" s="165">
        <f>F80</f>
        <v>5</v>
      </c>
      <c r="G79" s="180" t="str">
        <f>E79</f>
        <v>UN</v>
      </c>
      <c r="H79" s="142"/>
    </row>
    <row r="80" spans="1:8" s="143" customFormat="1" x14ac:dyDescent="0.25">
      <c r="A80" s="159"/>
      <c r="B80" s="160"/>
      <c r="C80" s="160"/>
      <c r="D80" s="162" t="s">
        <v>307</v>
      </c>
      <c r="E80" s="162"/>
      <c r="F80" s="167">
        <v>5</v>
      </c>
      <c r="G80" s="181" t="s">
        <v>17</v>
      </c>
      <c r="H80" s="142"/>
    </row>
    <row r="81" spans="1:8" s="143" customFormat="1" ht="60" x14ac:dyDescent="0.25">
      <c r="A81" s="150" t="str">
        <f>PO!A45</f>
        <v>1.5.13</v>
      </c>
      <c r="B81" s="155" t="str">
        <f>PO!B45</f>
        <v>SINAPI - 02/2023</v>
      </c>
      <c r="C81" s="155">
        <f>PO!C45</f>
        <v>97881</v>
      </c>
      <c r="D81" s="152" t="str">
        <f>PO!D45</f>
        <v>CAIXA ENTERRADA ELÉTRICA RETANGULAR, EM CONCRETO PRÉ-MOLDADO, FUNDO COM BRITA, DIMENSÕES INTERNAS: 0,3X0,3X0,3 M. AF_12/2020</v>
      </c>
      <c r="E81" s="152" t="str">
        <f>PO!E45</f>
        <v>UN</v>
      </c>
      <c r="F81" s="165">
        <f>F82</f>
        <v>7</v>
      </c>
      <c r="G81" s="180" t="str">
        <f>E81</f>
        <v>UN</v>
      </c>
      <c r="H81" s="142"/>
    </row>
    <row r="82" spans="1:8" s="143" customFormat="1" x14ac:dyDescent="0.25">
      <c r="A82" s="159"/>
      <c r="B82" s="160"/>
      <c r="C82" s="160"/>
      <c r="D82" s="162" t="s">
        <v>308</v>
      </c>
      <c r="E82" s="162"/>
      <c r="F82" s="167">
        <v>7</v>
      </c>
      <c r="G82" s="181" t="s">
        <v>17</v>
      </c>
      <c r="H82" s="142"/>
    </row>
    <row r="83" spans="1:8" s="143" customFormat="1" ht="60" x14ac:dyDescent="0.25">
      <c r="A83" s="150" t="str">
        <f>PO!A46</f>
        <v>1.5.14</v>
      </c>
      <c r="B83" s="155" t="str">
        <f>PO!B46</f>
        <v>SINAPI - 02/2023</v>
      </c>
      <c r="C83" s="155">
        <f>PO!C46</f>
        <v>101877</v>
      </c>
      <c r="D83" s="152" t="str">
        <f>PO!D46</f>
        <v>QUADRO DE DISTRIBUIÇÃO DE ENERGIA EM PVC, DE EMBUTIR, SEM BARRAMENTO, PARA 3 DISJUNTORES - FORNECIMENTO E INSTALAÇÃO. AF_10/2020</v>
      </c>
      <c r="E83" s="152" t="str">
        <f>PO!E46</f>
        <v>UN</v>
      </c>
      <c r="F83" s="165">
        <f>F84</f>
        <v>1</v>
      </c>
      <c r="G83" s="180" t="str">
        <f>E83</f>
        <v>UN</v>
      </c>
      <c r="H83" s="142"/>
    </row>
    <row r="84" spans="1:8" s="143" customFormat="1" x14ac:dyDescent="0.25">
      <c r="A84" s="159"/>
      <c r="B84" s="160"/>
      <c r="C84" s="160"/>
      <c r="D84" s="162" t="s">
        <v>309</v>
      </c>
      <c r="E84" s="162"/>
      <c r="F84" s="167">
        <v>1</v>
      </c>
      <c r="G84" s="181" t="s">
        <v>17</v>
      </c>
      <c r="H84" s="142"/>
    </row>
    <row r="85" spans="1:8" s="143" customFormat="1" ht="30" x14ac:dyDescent="0.25">
      <c r="A85" s="150" t="str">
        <f>PO!A47</f>
        <v>1.5.15</v>
      </c>
      <c r="B85" s="155" t="str">
        <f>PO!B47</f>
        <v>CDHU-189</v>
      </c>
      <c r="C85" s="155" t="str">
        <f>PO!C47</f>
        <v>37.13.630</v>
      </c>
      <c r="D85" s="152" t="str">
        <f>PO!D47</f>
        <v>Disjuntor termomagnético, bipolar 220/380 V, corrente de 10 A até 50 A</v>
      </c>
      <c r="E85" s="152" t="str">
        <f>PO!E47</f>
        <v>UN</v>
      </c>
      <c r="F85" s="165">
        <f>F86</f>
        <v>2</v>
      </c>
      <c r="G85" s="180" t="str">
        <f>E85</f>
        <v>UN</v>
      </c>
      <c r="H85" s="142"/>
    </row>
    <row r="86" spans="1:8" s="143" customFormat="1" x14ac:dyDescent="0.25">
      <c r="A86" s="159"/>
      <c r="B86" s="160"/>
      <c r="C86" s="160"/>
      <c r="D86" s="162" t="s">
        <v>310</v>
      </c>
      <c r="E86" s="162"/>
      <c r="F86" s="167">
        <v>2</v>
      </c>
      <c r="G86" s="181" t="s">
        <v>17</v>
      </c>
      <c r="H86" s="142"/>
    </row>
    <row r="87" spans="1:8" s="143" customFormat="1" ht="30" x14ac:dyDescent="0.25">
      <c r="A87" s="150" t="str">
        <f>PO!A48</f>
        <v>1.5.16</v>
      </c>
      <c r="B87" s="155" t="str">
        <f>PO!B48</f>
        <v>CDHU-189</v>
      </c>
      <c r="C87" s="155" t="str">
        <f>PO!C48</f>
        <v>07.02.020</v>
      </c>
      <c r="D87" s="152" t="str">
        <f>PO!D48</f>
        <v>Escavação mecanizada de valas ou cavas com profundidade de até 2 m</v>
      </c>
      <c r="E87" s="152" t="str">
        <f>PO!E48</f>
        <v>M3</v>
      </c>
      <c r="F87" s="165">
        <f>ROUND(F88*F89*F90,2)</f>
        <v>11.54</v>
      </c>
      <c r="G87" s="180" t="str">
        <f>E87</f>
        <v>M3</v>
      </c>
      <c r="H87" s="142"/>
    </row>
    <row r="88" spans="1:8" s="143" customFormat="1" x14ac:dyDescent="0.25">
      <c r="A88" s="159"/>
      <c r="B88" s="160"/>
      <c r="C88" s="160"/>
      <c r="D88" s="162" t="s">
        <v>585</v>
      </c>
      <c r="E88" s="162"/>
      <c r="F88" s="167">
        <f>F92+F94</f>
        <v>128.25</v>
      </c>
      <c r="G88" s="181" t="s">
        <v>50</v>
      </c>
      <c r="H88" s="142"/>
    </row>
    <row r="89" spans="1:8" s="143" customFormat="1" x14ac:dyDescent="0.25">
      <c r="A89" s="159"/>
      <c r="B89" s="160"/>
      <c r="C89" s="160"/>
      <c r="D89" s="162" t="s">
        <v>586</v>
      </c>
      <c r="E89" s="162"/>
      <c r="F89" s="167">
        <v>0.3</v>
      </c>
      <c r="G89" s="181" t="s">
        <v>50</v>
      </c>
      <c r="H89" s="142"/>
    </row>
    <row r="90" spans="1:8" s="143" customFormat="1" x14ac:dyDescent="0.25">
      <c r="A90" s="159"/>
      <c r="B90" s="160"/>
      <c r="C90" s="160"/>
      <c r="D90" s="162" t="s">
        <v>587</v>
      </c>
      <c r="E90" s="162"/>
      <c r="F90" s="167">
        <v>0.3</v>
      </c>
      <c r="G90" s="181" t="s">
        <v>50</v>
      </c>
      <c r="H90" s="142"/>
    </row>
    <row r="91" spans="1:8" s="143" customFormat="1" ht="30" x14ac:dyDescent="0.25">
      <c r="A91" s="150" t="str">
        <f>PO!A49</f>
        <v>1.5.17</v>
      </c>
      <c r="B91" s="155" t="str">
        <f>PO!B49</f>
        <v>CDHU-189</v>
      </c>
      <c r="C91" s="155" t="str">
        <f>PO!C49</f>
        <v>38.13.010</v>
      </c>
      <c r="D91" s="152" t="str">
        <f>PO!D49</f>
        <v>Eletroduto corrugado em polietileno de alta densidade, DN= 30 mm, com acessórios</v>
      </c>
      <c r="E91" s="152" t="str">
        <f>PO!E49</f>
        <v>M</v>
      </c>
      <c r="F91" s="165">
        <f>F92</f>
        <v>33.979999999999997</v>
      </c>
      <c r="G91" s="180" t="str">
        <f>E91</f>
        <v>M</v>
      </c>
      <c r="H91" s="142"/>
    </row>
    <row r="92" spans="1:8" s="143" customFormat="1" x14ac:dyDescent="0.25">
      <c r="A92" s="159"/>
      <c r="B92" s="160"/>
      <c r="C92" s="160"/>
      <c r="D92" s="162" t="s">
        <v>312</v>
      </c>
      <c r="E92" s="162"/>
      <c r="F92" s="167">
        <v>33.979999999999997</v>
      </c>
      <c r="G92" s="181" t="s">
        <v>50</v>
      </c>
      <c r="H92" s="142"/>
    </row>
    <row r="93" spans="1:8" s="143" customFormat="1" ht="30" x14ac:dyDescent="0.25">
      <c r="A93" s="150" t="str">
        <f>PO!A50</f>
        <v>1.5.18</v>
      </c>
      <c r="B93" s="155" t="str">
        <f>PO!B50</f>
        <v>CDHU-189</v>
      </c>
      <c r="C93" s="155" t="str">
        <f>PO!C50</f>
        <v>38.13.016</v>
      </c>
      <c r="D93" s="152" t="str">
        <f>PO!D50</f>
        <v>Eletroduto corrugado em polietileno de alta densidade, DN= 40 mm, com acessórios</v>
      </c>
      <c r="E93" s="152" t="str">
        <f>PO!E50</f>
        <v>M</v>
      </c>
      <c r="F93" s="165">
        <f>F94</f>
        <v>94.27</v>
      </c>
      <c r="G93" s="180" t="str">
        <f>E93</f>
        <v>M</v>
      </c>
      <c r="H93" s="142"/>
    </row>
    <row r="94" spans="1:8" s="143" customFormat="1" x14ac:dyDescent="0.25">
      <c r="A94" s="159"/>
      <c r="B94" s="160"/>
      <c r="C94" s="160"/>
      <c r="D94" s="162" t="s">
        <v>311</v>
      </c>
      <c r="E94" s="162"/>
      <c r="F94" s="167">
        <v>94.27</v>
      </c>
      <c r="G94" s="181" t="s">
        <v>50</v>
      </c>
      <c r="H94" s="142"/>
    </row>
    <row r="95" spans="1:8" s="143" customFormat="1" ht="30" x14ac:dyDescent="0.25">
      <c r="A95" s="150" t="str">
        <f>PO!A51</f>
        <v>1.5.19</v>
      </c>
      <c r="B95" s="155" t="str">
        <f>PO!B51</f>
        <v>CDHU-189</v>
      </c>
      <c r="C95" s="155" t="str">
        <f>PO!C51</f>
        <v>06.11.040</v>
      </c>
      <c r="D95" s="152" t="str">
        <f>PO!D51</f>
        <v>Reaterro manual apiloado sem controle de compactação</v>
      </c>
      <c r="E95" s="152" t="str">
        <f>PO!E51</f>
        <v>M3</v>
      </c>
      <c r="F95" s="165">
        <f>F96</f>
        <v>11.54</v>
      </c>
      <c r="G95" s="180" t="str">
        <f>E95</f>
        <v>M3</v>
      </c>
      <c r="H95" s="142"/>
    </row>
    <row r="96" spans="1:8" s="143" customFormat="1" x14ac:dyDescent="0.25">
      <c r="A96" s="159"/>
      <c r="B96" s="160"/>
      <c r="C96" s="160"/>
      <c r="D96" s="162" t="s">
        <v>589</v>
      </c>
      <c r="E96" s="162"/>
      <c r="F96" s="167">
        <f>F87</f>
        <v>11.54</v>
      </c>
      <c r="G96" s="181" t="s">
        <v>90</v>
      </c>
      <c r="H96" s="142"/>
    </row>
    <row r="97" spans="1:8" s="143" customFormat="1" ht="30" x14ac:dyDescent="0.25">
      <c r="A97" s="150" t="str">
        <f>PO!A52</f>
        <v>1.5.20</v>
      </c>
      <c r="B97" s="155" t="str">
        <f>PO!B52</f>
        <v>CDHU-189</v>
      </c>
      <c r="C97" s="155" t="str">
        <f>PO!C52</f>
        <v>39.02.030</v>
      </c>
      <c r="D97" s="152" t="str">
        <f>PO!D52</f>
        <v>Cabo de cobre de 6 mm², isolamento 750 V - isolação em PVC 70°C</v>
      </c>
      <c r="E97" s="152" t="str">
        <f>PO!E52</f>
        <v>M</v>
      </c>
      <c r="F97" s="165">
        <f>SUM(F98:F99)</f>
        <v>432.81000000000006</v>
      </c>
      <c r="G97" s="180" t="str">
        <f>E97</f>
        <v>M</v>
      </c>
      <c r="H97" s="142"/>
    </row>
    <row r="98" spans="1:8" s="143" customFormat="1" x14ac:dyDescent="0.25">
      <c r="A98" s="159"/>
      <c r="B98" s="160"/>
      <c r="C98" s="160"/>
      <c r="D98" s="162" t="s">
        <v>298</v>
      </c>
      <c r="E98" s="162"/>
      <c r="F98" s="167">
        <v>288.54000000000002</v>
      </c>
      <c r="G98" s="181" t="s">
        <v>50</v>
      </c>
      <c r="H98" s="142"/>
    </row>
    <row r="99" spans="1:8" s="143" customFormat="1" x14ac:dyDescent="0.25">
      <c r="A99" s="159"/>
      <c r="B99" s="160"/>
      <c r="C99" s="160"/>
      <c r="D99" s="162" t="s">
        <v>300</v>
      </c>
      <c r="E99" s="162"/>
      <c r="F99" s="167">
        <v>144.27000000000001</v>
      </c>
      <c r="G99" s="181" t="s">
        <v>50</v>
      </c>
      <c r="H99" s="142"/>
    </row>
    <row r="100" spans="1:8" s="143" customFormat="1" ht="75" x14ac:dyDescent="0.25">
      <c r="A100" s="150" t="str">
        <f>PO!A53</f>
        <v>1.5.21</v>
      </c>
      <c r="B100" s="155" t="str">
        <f>PO!B53</f>
        <v>COMPOSIÇÃO</v>
      </c>
      <c r="C100" s="155" t="str">
        <f>PO!C53</f>
        <v>PMBT.23.003</v>
      </c>
      <c r="D100" s="152" t="str">
        <f>PO!D53</f>
        <v>CAIXA ENTERRADA RETANGULAR, EM CONCRETO PRÉ-MOLDADO, FUNDO COM BRITA,TAMPA EM CHAPA DE FERRO COM PORTA CADEADO, COM CADEADO, DIMENSÕES INTERNAS: 1X1X0,5 M</v>
      </c>
      <c r="E100" s="152" t="str">
        <f>PO!E53</f>
        <v>UN</v>
      </c>
      <c r="F100" s="165">
        <f>F101</f>
        <v>1</v>
      </c>
      <c r="G100" s="180" t="str">
        <f>E100</f>
        <v>UN</v>
      </c>
      <c r="H100" s="142"/>
    </row>
    <row r="101" spans="1:8" s="143" customFormat="1" x14ac:dyDescent="0.25">
      <c r="A101" s="159"/>
      <c r="B101" s="160"/>
      <c r="C101" s="160"/>
      <c r="D101" s="162" t="s">
        <v>313</v>
      </c>
      <c r="E101" s="162"/>
      <c r="F101" s="167">
        <v>1</v>
      </c>
      <c r="G101" s="181" t="s">
        <v>17</v>
      </c>
      <c r="H101" s="142"/>
    </row>
    <row r="102" spans="1:8" s="143" customFormat="1" ht="30" x14ac:dyDescent="0.25">
      <c r="A102" s="150" t="str">
        <f>PO!A54</f>
        <v>1.5.22</v>
      </c>
      <c r="B102" s="155" t="str">
        <f>PO!B54</f>
        <v>CDHU-189</v>
      </c>
      <c r="C102" s="155" t="str">
        <f>PO!C54</f>
        <v>41.10.330</v>
      </c>
      <c r="D102" s="152" t="str">
        <f>PO!D54</f>
        <v>Poste telecônico reto em aço SAE 1010/1020 galvanizado a fogo, altura de 10,00 m</v>
      </c>
      <c r="E102" s="152" t="str">
        <f>PO!E54</f>
        <v>UN</v>
      </c>
      <c r="F102" s="165">
        <f>F103</f>
        <v>5</v>
      </c>
      <c r="G102" s="180" t="str">
        <f>E102</f>
        <v>UN</v>
      </c>
      <c r="H102" s="142"/>
    </row>
    <row r="103" spans="1:8" s="143" customFormat="1" x14ac:dyDescent="0.25">
      <c r="A103" s="159"/>
      <c r="B103" s="160"/>
      <c r="C103" s="160"/>
      <c r="D103" s="162" t="s">
        <v>314</v>
      </c>
      <c r="E103" s="162"/>
      <c r="F103" s="167">
        <v>5</v>
      </c>
      <c r="G103" s="181" t="s">
        <v>17</v>
      </c>
      <c r="H103" s="142"/>
    </row>
    <row r="104" spans="1:8" s="143" customFormat="1" ht="30" x14ac:dyDescent="0.25">
      <c r="A104" s="150" t="str">
        <f>PO!A55</f>
        <v>1.5.23</v>
      </c>
      <c r="B104" s="155" t="str">
        <f>PO!B55</f>
        <v>CDHU-189</v>
      </c>
      <c r="C104" s="155" t="str">
        <f>PO!C55</f>
        <v>41.10.070</v>
      </c>
      <c r="D104" s="152" t="str">
        <f>PO!D55</f>
        <v>Cruzeta reforçada em ferro galvanizado para fixação de quatro luminárias</v>
      </c>
      <c r="E104" s="152" t="str">
        <f>PO!E55</f>
        <v>UN</v>
      </c>
      <c r="F104" s="165">
        <f>F105</f>
        <v>5</v>
      </c>
      <c r="G104" s="180" t="str">
        <f>E104</f>
        <v>UN</v>
      </c>
      <c r="H104" s="142"/>
    </row>
    <row r="105" spans="1:8" s="143" customFormat="1" x14ac:dyDescent="0.25">
      <c r="A105" s="159"/>
      <c r="B105" s="160"/>
      <c r="C105" s="160"/>
      <c r="D105" s="162" t="s">
        <v>315</v>
      </c>
      <c r="E105" s="162"/>
      <c r="F105" s="167">
        <f>F103</f>
        <v>5</v>
      </c>
      <c r="G105" s="181" t="s">
        <v>17</v>
      </c>
      <c r="H105" s="142"/>
    </row>
    <row r="106" spans="1:8" s="143" customFormat="1" ht="45" x14ac:dyDescent="0.25">
      <c r="A106" s="150" t="str">
        <f>PO!A56</f>
        <v>1.5.24</v>
      </c>
      <c r="B106" s="155" t="str">
        <f>PO!B56</f>
        <v>CDHU-189</v>
      </c>
      <c r="C106" s="155" t="str">
        <f>PO!C56</f>
        <v>41.11.704</v>
      </c>
      <c r="D106" s="152" t="str">
        <f>PO!D56</f>
        <v>Luminária LED retangular para poste, fluxo luminoso de 14083 lm, eficiência mínima 135 lm/W - potência de 104 W</v>
      </c>
      <c r="E106" s="152" t="str">
        <f>PO!E56</f>
        <v>UN</v>
      </c>
      <c r="F106" s="165">
        <f>F107*F108</f>
        <v>20</v>
      </c>
      <c r="G106" s="180" t="str">
        <f>E106</f>
        <v>UN</v>
      </c>
      <c r="H106" s="142"/>
    </row>
    <row r="107" spans="1:8" s="143" customFormat="1" x14ac:dyDescent="0.25">
      <c r="A107" s="159"/>
      <c r="B107" s="160"/>
      <c r="C107" s="160"/>
      <c r="D107" s="162" t="s">
        <v>314</v>
      </c>
      <c r="E107" s="162"/>
      <c r="F107" s="167">
        <f>F105</f>
        <v>5</v>
      </c>
      <c r="G107" s="181" t="s">
        <v>17</v>
      </c>
      <c r="H107" s="142"/>
    </row>
    <row r="108" spans="1:8" x14ac:dyDescent="0.25">
      <c r="A108" s="156"/>
      <c r="B108" s="157"/>
      <c r="C108" s="157"/>
      <c r="D108" s="158" t="s">
        <v>316</v>
      </c>
      <c r="E108" s="158"/>
      <c r="F108" s="167">
        <v>4</v>
      </c>
      <c r="G108" s="168" t="s">
        <v>17</v>
      </c>
    </row>
    <row r="109" spans="1:8" x14ac:dyDescent="0.25">
      <c r="A109" s="148" t="str">
        <f>PO!A57</f>
        <v>1.6</v>
      </c>
      <c r="B109" s="148"/>
      <c r="C109" s="148"/>
      <c r="D109" s="148" t="str">
        <f>PO!D57</f>
        <v>MOBILIÁRIO URBANO E SINALIZAÇÃO</v>
      </c>
      <c r="E109" s="149">
        <f>PO!E57</f>
        <v>0</v>
      </c>
      <c r="F109" s="164"/>
      <c r="G109" s="164"/>
    </row>
    <row r="110" spans="1:8" s="143" customFormat="1" ht="30" x14ac:dyDescent="0.25">
      <c r="A110" s="150" t="str">
        <f>PO!A58</f>
        <v>1.6.1</v>
      </c>
      <c r="B110" s="155" t="str">
        <f>PO!B58</f>
        <v>CDHU-189</v>
      </c>
      <c r="C110" s="155" t="str">
        <f>PO!C58</f>
        <v>35.04.150</v>
      </c>
      <c r="D110" s="152" t="str">
        <f>PO!D58</f>
        <v>Banco em concreto pré-moldado com 3 pés, comprimento 300 cm</v>
      </c>
      <c r="E110" s="152" t="str">
        <f>PO!E58</f>
        <v>UN</v>
      </c>
      <c r="F110" s="165">
        <f>F111</f>
        <v>6</v>
      </c>
      <c r="G110" s="180" t="str">
        <f>E110</f>
        <v>UN</v>
      </c>
      <c r="H110" s="142"/>
    </row>
    <row r="111" spans="1:8" s="143" customFormat="1" x14ac:dyDescent="0.25">
      <c r="A111" s="159"/>
      <c r="B111" s="160"/>
      <c r="C111" s="160"/>
      <c r="D111" s="162" t="s">
        <v>342</v>
      </c>
      <c r="E111" s="162"/>
      <c r="F111" s="167">
        <v>6</v>
      </c>
      <c r="G111" s="181" t="s">
        <v>17</v>
      </c>
      <c r="H111" s="142"/>
    </row>
    <row r="112" spans="1:8" s="143" customFormat="1" ht="30" x14ac:dyDescent="0.25">
      <c r="A112" s="150" t="str">
        <f>PO!A59</f>
        <v>1.6.2</v>
      </c>
      <c r="B112" s="155" t="str">
        <f>PO!B59</f>
        <v>CDHU-189</v>
      </c>
      <c r="C112" s="155" t="str">
        <f>PO!C59</f>
        <v>54.20.040</v>
      </c>
      <c r="D112" s="152" t="str">
        <f>PO!D59</f>
        <v>Bate-roda em concreto pré-moldado</v>
      </c>
      <c r="E112" s="152" t="str">
        <f>PO!E59</f>
        <v>M</v>
      </c>
      <c r="F112" s="165">
        <f>ROUND(F113*F114,2)</f>
        <v>16.8</v>
      </c>
      <c r="G112" s="180" t="str">
        <f>E112</f>
        <v>M</v>
      </c>
      <c r="H112" s="142"/>
    </row>
    <row r="113" spans="1:8" s="143" customFormat="1" x14ac:dyDescent="0.25">
      <c r="A113" s="159"/>
      <c r="B113" s="160"/>
      <c r="C113" s="160"/>
      <c r="D113" s="162" t="s">
        <v>355</v>
      </c>
      <c r="E113" s="162"/>
      <c r="F113" s="167">
        <v>2.1</v>
      </c>
      <c r="G113" s="181" t="s">
        <v>238</v>
      </c>
      <c r="H113" s="142"/>
    </row>
    <row r="114" spans="1:8" s="143" customFormat="1" x14ac:dyDescent="0.25">
      <c r="A114" s="159"/>
      <c r="B114" s="160"/>
      <c r="C114" s="160"/>
      <c r="D114" s="162" t="s">
        <v>356</v>
      </c>
      <c r="E114" s="162"/>
      <c r="F114" s="167">
        <v>8</v>
      </c>
      <c r="G114" s="181" t="s">
        <v>294</v>
      </c>
      <c r="H114" s="142"/>
    </row>
    <row r="115" spans="1:8" s="143" customFormat="1" ht="30" x14ac:dyDescent="0.25">
      <c r="A115" s="150" t="str">
        <f>PO!A60</f>
        <v>1.6.3</v>
      </c>
      <c r="B115" s="155" t="str">
        <f>PO!B60</f>
        <v>CDHU-189</v>
      </c>
      <c r="C115" s="155" t="str">
        <f>PO!C60</f>
        <v>70.04.001</v>
      </c>
      <c r="D115" s="152" t="str">
        <f>PO!D60</f>
        <v>Coluna simples (PP), diâmetro de 2 1/2´ e comprimento de 3,6 m</v>
      </c>
      <c r="E115" s="152" t="str">
        <f>PO!E60</f>
        <v>UN</v>
      </c>
      <c r="F115" s="165">
        <f>F116</f>
        <v>2</v>
      </c>
      <c r="G115" s="180" t="str">
        <f>E115</f>
        <v>UN</v>
      </c>
      <c r="H115" s="142"/>
    </row>
    <row r="116" spans="1:8" s="143" customFormat="1" x14ac:dyDescent="0.25">
      <c r="A116" s="159"/>
      <c r="B116" s="160"/>
      <c r="C116" s="160"/>
      <c r="D116" s="162" t="s">
        <v>357</v>
      </c>
      <c r="E116" s="162"/>
      <c r="F116" s="167">
        <v>2</v>
      </c>
      <c r="G116" s="181" t="s">
        <v>17</v>
      </c>
      <c r="H116" s="142"/>
    </row>
    <row r="117" spans="1:8" s="143" customFormat="1" ht="30" x14ac:dyDescent="0.25">
      <c r="A117" s="150" t="str">
        <f>PO!A61</f>
        <v>1.6.4</v>
      </c>
      <c r="B117" s="155" t="str">
        <f>PO!B61</f>
        <v>CDHU-189</v>
      </c>
      <c r="C117" s="155" t="str">
        <f>PO!C61</f>
        <v>70.03.010</v>
      </c>
      <c r="D117" s="152" t="str">
        <f>PO!D61</f>
        <v>Placa para sinalização viária em alumínio composto, totalmente refletiva com película IA/IA - área até 2,0 m²</v>
      </c>
      <c r="E117" s="152" t="str">
        <f>PO!E61</f>
        <v>M2</v>
      </c>
      <c r="F117" s="165">
        <f>ROUND(F118*F119,2)</f>
        <v>0.76</v>
      </c>
      <c r="G117" s="180" t="str">
        <f>E117</f>
        <v>M2</v>
      </c>
      <c r="H117" s="142"/>
    </row>
    <row r="118" spans="1:8" s="143" customFormat="1" x14ac:dyDescent="0.25">
      <c r="A118" s="159"/>
      <c r="B118" s="160"/>
      <c r="C118" s="160"/>
      <c r="D118" s="162" t="s">
        <v>358</v>
      </c>
      <c r="E118" s="162"/>
      <c r="F118" s="167">
        <v>2</v>
      </c>
      <c r="G118" s="181" t="s">
        <v>17</v>
      </c>
      <c r="H118" s="142"/>
    </row>
    <row r="119" spans="1:8" s="143" customFormat="1" x14ac:dyDescent="0.25">
      <c r="A119" s="159"/>
      <c r="B119" s="160"/>
      <c r="C119" s="160"/>
      <c r="D119" s="162" t="s">
        <v>359</v>
      </c>
      <c r="E119" s="162"/>
      <c r="F119" s="167">
        <f>ROUND(0.5*0.75,2)</f>
        <v>0.38</v>
      </c>
      <c r="G119" s="181" t="s">
        <v>49</v>
      </c>
      <c r="H119" s="142"/>
    </row>
    <row r="120" spans="1:8" s="143" customFormat="1" ht="30" x14ac:dyDescent="0.25">
      <c r="A120" s="150" t="str">
        <f>PO!A62</f>
        <v>1.6.5</v>
      </c>
      <c r="B120" s="155" t="str">
        <f>PO!B62</f>
        <v>CDHU-189</v>
      </c>
      <c r="C120" s="155" t="str">
        <f>PO!C62</f>
        <v>70.02.010</v>
      </c>
      <c r="D120" s="152" t="str">
        <f>PO!D62</f>
        <v>Sinalização horizontal com tinta vinílica ou acrílica</v>
      </c>
      <c r="E120" s="152" t="str">
        <f>PO!E62</f>
        <v>M2</v>
      </c>
      <c r="F120" s="165">
        <f>F121+F125+F129</f>
        <v>18.14</v>
      </c>
      <c r="G120" s="180" t="str">
        <f>E120</f>
        <v>M2</v>
      </c>
      <c r="H120" s="142"/>
    </row>
    <row r="121" spans="1:8" s="143" customFormat="1" x14ac:dyDescent="0.25">
      <c r="A121" s="159"/>
      <c r="B121" s="160"/>
      <c r="C121" s="186" t="s">
        <v>360</v>
      </c>
      <c r="D121" s="162"/>
      <c r="E121" s="162"/>
      <c r="F121" s="165">
        <f>ROUND(F122*F123*F124,2)</f>
        <v>1.44</v>
      </c>
      <c r="G121" s="180" t="s">
        <v>52</v>
      </c>
      <c r="H121" s="142"/>
    </row>
    <row r="122" spans="1:8" x14ac:dyDescent="0.25">
      <c r="A122" s="156"/>
      <c r="B122" s="157"/>
      <c r="C122" s="190"/>
      <c r="D122" s="158" t="s">
        <v>361</v>
      </c>
      <c r="E122" s="158"/>
      <c r="F122" s="168">
        <v>1.2</v>
      </c>
      <c r="G122" s="168" t="s">
        <v>50</v>
      </c>
    </row>
    <row r="123" spans="1:8" x14ac:dyDescent="0.25">
      <c r="A123" s="156"/>
      <c r="B123" s="157"/>
      <c r="C123" s="190"/>
      <c r="D123" s="158" t="s">
        <v>362</v>
      </c>
      <c r="E123" s="158"/>
      <c r="F123" s="168">
        <v>1.2</v>
      </c>
      <c r="G123" s="168" t="s">
        <v>50</v>
      </c>
    </row>
    <row r="124" spans="1:8" x14ac:dyDescent="0.25">
      <c r="A124" s="156"/>
      <c r="B124" s="157"/>
      <c r="C124" s="190"/>
      <c r="D124" s="158" t="s">
        <v>363</v>
      </c>
      <c r="E124" s="158"/>
      <c r="F124" s="168">
        <v>1</v>
      </c>
      <c r="G124" s="168" t="s">
        <v>17</v>
      </c>
    </row>
    <row r="125" spans="1:8" x14ac:dyDescent="0.25">
      <c r="A125" s="156"/>
      <c r="B125" s="157"/>
      <c r="C125" s="191" t="s">
        <v>364</v>
      </c>
      <c r="D125" s="158"/>
      <c r="E125" s="158"/>
      <c r="F125" s="165">
        <f>ROUND(F126*F127*F128,2)</f>
        <v>12</v>
      </c>
      <c r="G125" s="180" t="s">
        <v>52</v>
      </c>
    </row>
    <row r="126" spans="1:8" x14ac:dyDescent="0.25">
      <c r="A126" s="156"/>
      <c r="B126" s="157"/>
      <c r="C126" s="190"/>
      <c r="D126" s="158" t="s">
        <v>361</v>
      </c>
      <c r="E126" s="158"/>
      <c r="F126" s="168">
        <v>1.2</v>
      </c>
      <c r="G126" s="168" t="s">
        <v>50</v>
      </c>
    </row>
    <row r="127" spans="1:8" x14ac:dyDescent="0.25">
      <c r="A127" s="156"/>
      <c r="B127" s="157"/>
      <c r="C127" s="190"/>
      <c r="D127" s="158" t="s">
        <v>362</v>
      </c>
      <c r="E127" s="158"/>
      <c r="F127" s="168">
        <v>5</v>
      </c>
      <c r="G127" s="168" t="s">
        <v>50</v>
      </c>
    </row>
    <row r="128" spans="1:8" x14ac:dyDescent="0.25">
      <c r="A128" s="156"/>
      <c r="B128" s="157"/>
      <c r="C128" s="190"/>
      <c r="D128" s="158" t="s">
        <v>363</v>
      </c>
      <c r="E128" s="158"/>
      <c r="F128" s="168">
        <v>2</v>
      </c>
      <c r="G128" s="168" t="s">
        <v>17</v>
      </c>
    </row>
    <row r="129" spans="1:8" x14ac:dyDescent="0.25">
      <c r="A129" s="156"/>
      <c r="B129" s="157"/>
      <c r="C129" s="190" t="s">
        <v>365</v>
      </c>
      <c r="D129" s="158"/>
      <c r="E129" s="158"/>
      <c r="F129" s="165">
        <f>ROUND(F130*F131*F132,2)</f>
        <v>4.7</v>
      </c>
      <c r="G129" s="180" t="s">
        <v>52</v>
      </c>
    </row>
    <row r="130" spans="1:8" x14ac:dyDescent="0.25">
      <c r="A130" s="156"/>
      <c r="B130" s="157"/>
      <c r="C130" s="157"/>
      <c r="D130" s="158" t="s">
        <v>366</v>
      </c>
      <c r="E130" s="158"/>
      <c r="F130" s="168">
        <f>0.13+0.02+0.13</f>
        <v>0.28000000000000003</v>
      </c>
      <c r="G130" s="168" t="s">
        <v>50</v>
      </c>
    </row>
    <row r="131" spans="1:8" x14ac:dyDescent="0.25">
      <c r="A131" s="156"/>
      <c r="B131" s="157"/>
      <c r="C131" s="157"/>
      <c r="D131" s="158" t="s">
        <v>362</v>
      </c>
      <c r="E131" s="158"/>
      <c r="F131" s="166">
        <f>F113</f>
        <v>2.1</v>
      </c>
      <c r="G131" s="168" t="s">
        <v>50</v>
      </c>
    </row>
    <row r="132" spans="1:8" x14ac:dyDescent="0.25">
      <c r="A132" s="156"/>
      <c r="B132" s="157"/>
      <c r="C132" s="157"/>
      <c r="D132" s="158" t="s">
        <v>363</v>
      </c>
      <c r="E132" s="158"/>
      <c r="F132" s="166">
        <f>F114</f>
        <v>8</v>
      </c>
      <c r="G132" s="168" t="s">
        <v>17</v>
      </c>
    </row>
    <row r="133" spans="1:8" x14ac:dyDescent="0.25">
      <c r="A133" s="148" t="str">
        <f>PO!A63</f>
        <v>1.7</v>
      </c>
      <c r="B133" s="148"/>
      <c r="C133" s="148"/>
      <c r="D133" s="148" t="str">
        <f>PO!D63</f>
        <v xml:space="preserve">PERGOLADO </v>
      </c>
      <c r="E133" s="149">
        <f>PO!E63</f>
        <v>0</v>
      </c>
      <c r="F133" s="164"/>
      <c r="G133" s="164"/>
    </row>
    <row r="134" spans="1:8" s="143" customFormat="1" ht="60" x14ac:dyDescent="0.25">
      <c r="A134" s="150" t="str">
        <f>PO!A64</f>
        <v>1.7.1</v>
      </c>
      <c r="B134" s="155" t="str">
        <f>PO!B64</f>
        <v>SINAPI - 02/2023</v>
      </c>
      <c r="C134" s="155">
        <f>PO!C64</f>
        <v>96520</v>
      </c>
      <c r="D134" s="152" t="str">
        <f>PO!D64</f>
        <v>ESCAVAÇÃO MECANIZADA PARA BLOCO DE COROAMENTO OU SAPATA COM RETROESCAVADEIRA (SEM ESCAVAÇÃO PARA COLOCAÇÃO DE FÔRMAS). AF_06/2017</v>
      </c>
      <c r="E134" s="152" t="str">
        <f>PO!E64</f>
        <v>M3</v>
      </c>
      <c r="F134" s="165">
        <f>ROUND(F135*F136*F137*F138,2)</f>
        <v>1.84</v>
      </c>
      <c r="G134" s="180" t="str">
        <f>E134</f>
        <v>M3</v>
      </c>
      <c r="H134" s="142"/>
    </row>
    <row r="135" spans="1:8" s="143" customFormat="1" x14ac:dyDescent="0.25">
      <c r="A135" s="159"/>
      <c r="B135" s="160"/>
      <c r="C135" s="160"/>
      <c r="D135" s="162" t="s">
        <v>407</v>
      </c>
      <c r="E135" s="162"/>
      <c r="F135" s="167">
        <v>0.6</v>
      </c>
      <c r="G135" s="181" t="s">
        <v>50</v>
      </c>
      <c r="H135" s="142"/>
    </row>
    <row r="136" spans="1:8" s="143" customFormat="1" x14ac:dyDescent="0.25">
      <c r="A136" s="159"/>
      <c r="B136" s="160"/>
      <c r="C136" s="160"/>
      <c r="D136" s="162" t="s">
        <v>406</v>
      </c>
      <c r="E136" s="162"/>
      <c r="F136" s="167">
        <v>0.6</v>
      </c>
      <c r="G136" s="181" t="s">
        <v>50</v>
      </c>
      <c r="H136" s="142"/>
    </row>
    <row r="137" spans="1:8" s="143" customFormat="1" x14ac:dyDescent="0.25">
      <c r="A137" s="159"/>
      <c r="B137" s="160"/>
      <c r="C137" s="160"/>
      <c r="D137" s="162" t="s">
        <v>408</v>
      </c>
      <c r="E137" s="162"/>
      <c r="F137" s="167">
        <f>0.3+0.5+0.05</f>
        <v>0.85000000000000009</v>
      </c>
      <c r="G137" s="181" t="s">
        <v>50</v>
      </c>
      <c r="H137" s="142"/>
    </row>
    <row r="138" spans="1:8" s="143" customFormat="1" x14ac:dyDescent="0.25">
      <c r="A138" s="159"/>
      <c r="B138" s="160"/>
      <c r="C138" s="160"/>
      <c r="D138" s="162" t="s">
        <v>409</v>
      </c>
      <c r="E138" s="162"/>
      <c r="F138" s="167">
        <v>6</v>
      </c>
      <c r="G138" s="181" t="s">
        <v>17</v>
      </c>
      <c r="H138" s="142"/>
    </row>
    <row r="139" spans="1:8" s="143" customFormat="1" ht="45" x14ac:dyDescent="0.25">
      <c r="A139" s="150" t="str">
        <f>PO!A65</f>
        <v>1.7.2</v>
      </c>
      <c r="B139" s="155" t="str">
        <f>PO!B65</f>
        <v>SINAPI - 02/2023</v>
      </c>
      <c r="C139" s="155">
        <f>PO!C65</f>
        <v>96616</v>
      </c>
      <c r="D139" s="152" t="str">
        <f>PO!D65</f>
        <v>LASTRO DE CONCRETO MAGRO, APLICADO EM BLOCOS DE COROAMENTO OU SAPATAS. AF_08/2017</v>
      </c>
      <c r="E139" s="152" t="str">
        <f>PO!E65</f>
        <v>M3</v>
      </c>
      <c r="F139" s="165">
        <f>ROUND(F140*F141*F142*F143,2)</f>
        <v>0.11</v>
      </c>
      <c r="G139" s="180" t="str">
        <f>E139</f>
        <v>M3</v>
      </c>
      <c r="H139" s="142"/>
    </row>
    <row r="140" spans="1:8" s="143" customFormat="1" x14ac:dyDescent="0.25">
      <c r="A140" s="159"/>
      <c r="B140" s="160"/>
      <c r="C140" s="160"/>
      <c r="D140" s="162" t="s">
        <v>410</v>
      </c>
      <c r="E140" s="162"/>
      <c r="F140" s="167">
        <f>F135</f>
        <v>0.6</v>
      </c>
      <c r="G140" s="181" t="s">
        <v>50</v>
      </c>
      <c r="H140" s="142"/>
    </row>
    <row r="141" spans="1:8" s="143" customFormat="1" x14ac:dyDescent="0.25">
      <c r="A141" s="159"/>
      <c r="B141" s="160"/>
      <c r="C141" s="160"/>
      <c r="D141" s="162" t="s">
        <v>411</v>
      </c>
      <c r="E141" s="162"/>
      <c r="F141" s="167">
        <f>F136</f>
        <v>0.6</v>
      </c>
      <c r="G141" s="181" t="s">
        <v>50</v>
      </c>
      <c r="H141" s="142"/>
    </row>
    <row r="142" spans="1:8" s="143" customFormat="1" x14ac:dyDescent="0.25">
      <c r="A142" s="159"/>
      <c r="B142" s="160"/>
      <c r="C142" s="160"/>
      <c r="D142" s="162" t="s">
        <v>412</v>
      </c>
      <c r="E142" s="162"/>
      <c r="F142" s="167">
        <f>0.05</f>
        <v>0.05</v>
      </c>
      <c r="G142" s="181" t="s">
        <v>50</v>
      </c>
      <c r="H142" s="142"/>
    </row>
    <row r="143" spans="1:8" s="143" customFormat="1" x14ac:dyDescent="0.25">
      <c r="A143" s="159"/>
      <c r="B143" s="160"/>
      <c r="C143" s="160"/>
      <c r="D143" s="162" t="s">
        <v>409</v>
      </c>
      <c r="E143" s="162"/>
      <c r="F143" s="167">
        <v>6</v>
      </c>
      <c r="G143" s="181" t="s">
        <v>17</v>
      </c>
      <c r="H143" s="142"/>
    </row>
    <row r="144" spans="1:8" s="143" customFormat="1" ht="30" x14ac:dyDescent="0.25">
      <c r="A144" s="150" t="str">
        <f>PO!A66</f>
        <v>1.7.3</v>
      </c>
      <c r="B144" s="155" t="str">
        <f>PO!B66</f>
        <v>CDHU-189</v>
      </c>
      <c r="C144" s="155" t="str">
        <f>PO!C66</f>
        <v>10.01.040</v>
      </c>
      <c r="D144" s="152" t="str">
        <f>PO!D66</f>
        <v>Armadura em barra de aço CA-50 (A ou B) fyk = 500 MPa</v>
      </c>
      <c r="E144" s="152" t="str">
        <f>PO!E66</f>
        <v>KG</v>
      </c>
      <c r="F144" s="165">
        <f>SUM(F145:F147)</f>
        <v>126.46000000000001</v>
      </c>
      <c r="G144" s="180" t="str">
        <f>E144</f>
        <v>KG</v>
      </c>
      <c r="H144" s="142"/>
    </row>
    <row r="145" spans="1:8" s="143" customFormat="1" x14ac:dyDescent="0.25">
      <c r="A145" s="159"/>
      <c r="B145" s="160"/>
      <c r="C145" s="160"/>
      <c r="D145" s="162" t="s">
        <v>413</v>
      </c>
      <c r="E145" s="162"/>
      <c r="F145" s="167">
        <f>aços!G19</f>
        <v>60.48</v>
      </c>
      <c r="G145" s="181" t="s">
        <v>416</v>
      </c>
      <c r="H145" s="142"/>
    </row>
    <row r="146" spans="1:8" s="143" customFormat="1" x14ac:dyDescent="0.25">
      <c r="A146" s="159"/>
      <c r="B146" s="160"/>
      <c r="C146" s="160"/>
      <c r="D146" s="162" t="s">
        <v>414</v>
      </c>
      <c r="E146" s="162"/>
      <c r="F146" s="167">
        <f>aços!G46</f>
        <v>56.86</v>
      </c>
      <c r="G146" s="181" t="s">
        <v>416</v>
      </c>
      <c r="H146" s="142"/>
    </row>
    <row r="147" spans="1:8" s="143" customFormat="1" x14ac:dyDescent="0.25">
      <c r="A147" s="159"/>
      <c r="B147" s="160"/>
      <c r="C147" s="160"/>
      <c r="D147" s="162" t="s">
        <v>415</v>
      </c>
      <c r="E147" s="162"/>
      <c r="F147" s="167">
        <f>aços!G71</f>
        <v>9.1199999999999992</v>
      </c>
      <c r="G147" s="181" t="s">
        <v>416</v>
      </c>
      <c r="H147" s="142"/>
    </row>
    <row r="148" spans="1:8" s="143" customFormat="1" ht="30" x14ac:dyDescent="0.25">
      <c r="A148" s="150" t="str">
        <f>PO!A67</f>
        <v>1.7.4</v>
      </c>
      <c r="B148" s="155" t="str">
        <f>PO!B67</f>
        <v>CDHU-189</v>
      </c>
      <c r="C148" s="155" t="str">
        <f>PO!C67</f>
        <v>10.01.060</v>
      </c>
      <c r="D148" s="152" t="str">
        <f>PO!D67</f>
        <v>Armadura em barra de aço CA-60 (A ou B) fyk = 600 MPa</v>
      </c>
      <c r="E148" s="152" t="str">
        <f>PO!E67</f>
        <v>KG</v>
      </c>
      <c r="F148" s="165">
        <f>SUM(F149:F151)</f>
        <v>21.44</v>
      </c>
      <c r="G148" s="180" t="str">
        <f>E148</f>
        <v>KG</v>
      </c>
      <c r="H148" s="142"/>
    </row>
    <row r="149" spans="1:8" s="143" customFormat="1" x14ac:dyDescent="0.25">
      <c r="A149" s="159"/>
      <c r="B149" s="160"/>
      <c r="C149" s="160"/>
      <c r="D149" s="162" t="s">
        <v>455</v>
      </c>
      <c r="E149" s="162"/>
      <c r="F149" s="167"/>
      <c r="G149" s="181" t="s">
        <v>416</v>
      </c>
      <c r="H149" s="142"/>
    </row>
    <row r="150" spans="1:8" s="143" customFormat="1" x14ac:dyDescent="0.25">
      <c r="A150" s="159"/>
      <c r="B150" s="160"/>
      <c r="C150" s="160"/>
      <c r="D150" s="162" t="s">
        <v>456</v>
      </c>
      <c r="E150" s="162"/>
      <c r="F150" s="167">
        <f>aços!G47</f>
        <v>21.44</v>
      </c>
      <c r="G150" s="181" t="s">
        <v>416</v>
      </c>
      <c r="H150" s="142"/>
    </row>
    <row r="151" spans="1:8" s="143" customFormat="1" x14ac:dyDescent="0.25">
      <c r="A151" s="159"/>
      <c r="B151" s="160"/>
      <c r="C151" s="160"/>
      <c r="D151" s="162" t="s">
        <v>457</v>
      </c>
      <c r="E151" s="162"/>
      <c r="F151" s="167"/>
      <c r="G151" s="181" t="s">
        <v>416</v>
      </c>
      <c r="H151" s="142"/>
    </row>
    <row r="152" spans="1:8" s="143" customFormat="1" ht="60" x14ac:dyDescent="0.25">
      <c r="A152" s="150" t="str">
        <f>PO!A68</f>
        <v>1.7.5</v>
      </c>
      <c r="B152" s="155" t="str">
        <f>PO!B68</f>
        <v>SINAPI - 02/2023</v>
      </c>
      <c r="C152" s="155">
        <f>PO!C68</f>
        <v>96555</v>
      </c>
      <c r="D152" s="152" t="str">
        <f>PO!D68</f>
        <v>CONCRETAGEM DE BLOCOS DE COROAMENTO E VIGAS BALDRAME, FCK 30 MPA, COM USO DE JERICA  LANÇAMENTO, ADENSAMENTO E ACABAMENTO. AF_06/2017</v>
      </c>
      <c r="E152" s="152" t="str">
        <f>PO!E68</f>
        <v>M3</v>
      </c>
      <c r="F152" s="165">
        <f>ROUND(F153*F154*F155*F156,2)</f>
        <v>1.08</v>
      </c>
      <c r="G152" s="180" t="str">
        <f>E152</f>
        <v>M3</v>
      </c>
      <c r="H152" s="142"/>
    </row>
    <row r="153" spans="1:8" s="143" customFormat="1" x14ac:dyDescent="0.25">
      <c r="A153" s="159"/>
      <c r="B153" s="160"/>
      <c r="C153" s="160"/>
      <c r="D153" s="162" t="s">
        <v>417</v>
      </c>
      <c r="E153" s="162"/>
      <c r="F153" s="167">
        <f>F140</f>
        <v>0.6</v>
      </c>
      <c r="G153" s="181" t="s">
        <v>50</v>
      </c>
      <c r="H153" s="142"/>
    </row>
    <row r="154" spans="1:8" s="143" customFormat="1" x14ac:dyDescent="0.25">
      <c r="A154" s="159"/>
      <c r="B154" s="160"/>
      <c r="C154" s="160"/>
      <c r="D154" s="162" t="s">
        <v>418</v>
      </c>
      <c r="E154" s="162"/>
      <c r="F154" s="167">
        <f>F141</f>
        <v>0.6</v>
      </c>
      <c r="G154" s="181" t="s">
        <v>50</v>
      </c>
      <c r="H154" s="142"/>
    </row>
    <row r="155" spans="1:8" s="143" customFormat="1" x14ac:dyDescent="0.25">
      <c r="A155" s="159"/>
      <c r="B155" s="160"/>
      <c r="C155" s="160"/>
      <c r="D155" s="162" t="s">
        <v>419</v>
      </c>
      <c r="E155" s="162"/>
      <c r="F155" s="167">
        <v>0.5</v>
      </c>
      <c r="G155" s="181" t="s">
        <v>50</v>
      </c>
      <c r="H155" s="142"/>
    </row>
    <row r="156" spans="1:8" s="143" customFormat="1" x14ac:dyDescent="0.25">
      <c r="A156" s="159"/>
      <c r="B156" s="160"/>
      <c r="C156" s="160"/>
      <c r="D156" s="162" t="s">
        <v>409</v>
      </c>
      <c r="E156" s="162"/>
      <c r="F156" s="167">
        <f>F143</f>
        <v>6</v>
      </c>
      <c r="G156" s="181" t="s">
        <v>17</v>
      </c>
      <c r="H156" s="142"/>
    </row>
    <row r="157" spans="1:8" s="143" customFormat="1" ht="30" x14ac:dyDescent="0.25">
      <c r="A157" s="150" t="str">
        <f>PO!A69</f>
        <v>1.7.6</v>
      </c>
      <c r="B157" s="155" t="str">
        <f>PO!B69</f>
        <v>CDHU-189</v>
      </c>
      <c r="C157" s="155" t="str">
        <f>PO!C69</f>
        <v>09.02.040</v>
      </c>
      <c r="D157" s="152" t="str">
        <f>PO!D69</f>
        <v>Forma plana em compensado para estrutura aparente</v>
      </c>
      <c r="E157" s="152" t="str">
        <f>PO!E69</f>
        <v>M2</v>
      </c>
      <c r="F157" s="165">
        <f>ROUND(F158*F159*F160,2)</f>
        <v>23.76</v>
      </c>
      <c r="G157" s="180" t="str">
        <f>E157</f>
        <v>M2</v>
      </c>
      <c r="H157" s="142"/>
    </row>
    <row r="158" spans="1:8" s="143" customFormat="1" x14ac:dyDescent="0.25">
      <c r="A158" s="159"/>
      <c r="B158" s="160"/>
      <c r="C158" s="160"/>
      <c r="D158" s="162" t="s">
        <v>420</v>
      </c>
      <c r="E158" s="162"/>
      <c r="F158" s="167">
        <f>0.3*4</f>
        <v>1.2</v>
      </c>
      <c r="G158" s="181" t="s">
        <v>50</v>
      </c>
      <c r="H158" s="142"/>
    </row>
    <row r="159" spans="1:8" s="143" customFormat="1" x14ac:dyDescent="0.25">
      <c r="A159" s="159"/>
      <c r="B159" s="160"/>
      <c r="C159" s="160"/>
      <c r="D159" s="162" t="s">
        <v>421</v>
      </c>
      <c r="E159" s="162"/>
      <c r="F159" s="167">
        <f>3+0.3</f>
        <v>3.3</v>
      </c>
      <c r="G159" s="181" t="s">
        <v>50</v>
      </c>
      <c r="H159" s="142"/>
    </row>
    <row r="160" spans="1:8" s="143" customFormat="1" x14ac:dyDescent="0.25">
      <c r="A160" s="159"/>
      <c r="B160" s="160"/>
      <c r="C160" s="160"/>
      <c r="D160" s="162" t="s">
        <v>422</v>
      </c>
      <c r="E160" s="162"/>
      <c r="F160" s="167">
        <f>F156</f>
        <v>6</v>
      </c>
      <c r="G160" s="181" t="s">
        <v>17</v>
      </c>
      <c r="H160" s="142"/>
    </row>
    <row r="161" spans="1:8" s="143" customFormat="1" ht="30" x14ac:dyDescent="0.25">
      <c r="A161" s="150" t="str">
        <f>PO!A70</f>
        <v>1.7.7</v>
      </c>
      <c r="B161" s="155" t="str">
        <f>PO!B70</f>
        <v>CDHU-189</v>
      </c>
      <c r="C161" s="155" t="str">
        <f>PO!C70</f>
        <v>11.03.090</v>
      </c>
      <c r="D161" s="152" t="str">
        <f>PO!D70</f>
        <v>Concreto preparado no local, fck = 20 MPa</v>
      </c>
      <c r="E161" s="152" t="str">
        <f>PO!E70</f>
        <v>M3</v>
      </c>
      <c r="F161" s="165">
        <f>ROUND(F162*F163*F164*F165,2)</f>
        <v>1.78</v>
      </c>
      <c r="G161" s="180" t="str">
        <f>E161</f>
        <v>M3</v>
      </c>
      <c r="H161" s="142"/>
    </row>
    <row r="162" spans="1:8" s="143" customFormat="1" x14ac:dyDescent="0.25">
      <c r="A162" s="159"/>
      <c r="B162" s="160"/>
      <c r="C162" s="160"/>
      <c r="D162" s="162" t="s">
        <v>426</v>
      </c>
      <c r="E162" s="162"/>
      <c r="F162" s="167">
        <v>0.3</v>
      </c>
      <c r="G162" s="181" t="s">
        <v>50</v>
      </c>
      <c r="H162" s="142"/>
    </row>
    <row r="163" spans="1:8" s="143" customFormat="1" x14ac:dyDescent="0.25">
      <c r="A163" s="159"/>
      <c r="B163" s="160"/>
      <c r="C163" s="160"/>
      <c r="D163" s="162" t="s">
        <v>427</v>
      </c>
      <c r="E163" s="162"/>
      <c r="F163" s="167">
        <v>0.3</v>
      </c>
      <c r="G163" s="181" t="s">
        <v>50</v>
      </c>
      <c r="H163" s="142"/>
    </row>
    <row r="164" spans="1:8" s="143" customFormat="1" x14ac:dyDescent="0.25">
      <c r="A164" s="159"/>
      <c r="B164" s="160"/>
      <c r="C164" s="160"/>
      <c r="D164" s="162" t="s">
        <v>428</v>
      </c>
      <c r="E164" s="162"/>
      <c r="F164" s="167">
        <f>F159</f>
        <v>3.3</v>
      </c>
      <c r="G164" s="181" t="s">
        <v>50</v>
      </c>
      <c r="H164" s="142"/>
    </row>
    <row r="165" spans="1:8" s="143" customFormat="1" x14ac:dyDescent="0.25">
      <c r="A165" s="159"/>
      <c r="B165" s="160"/>
      <c r="C165" s="160"/>
      <c r="D165" s="162" t="s">
        <v>422</v>
      </c>
      <c r="E165" s="162"/>
      <c r="F165" s="167">
        <f>F160</f>
        <v>6</v>
      </c>
      <c r="G165" s="181" t="s">
        <v>17</v>
      </c>
      <c r="H165" s="142"/>
    </row>
    <row r="166" spans="1:8" s="143" customFormat="1" ht="30" x14ac:dyDescent="0.25">
      <c r="A166" s="150" t="str">
        <f>PO!A71</f>
        <v>1.7.8</v>
      </c>
      <c r="B166" s="155" t="str">
        <f>PO!B71</f>
        <v>CDHU-189</v>
      </c>
      <c r="C166" s="155" t="str">
        <f>PO!C71</f>
        <v>11.16.060</v>
      </c>
      <c r="D166" s="152" t="str">
        <f>PO!D71</f>
        <v>Lançamento e adensamento de concreto ou massa em estrutura</v>
      </c>
      <c r="E166" s="152" t="str">
        <f>PO!E71</f>
        <v>M3</v>
      </c>
      <c r="F166" s="165">
        <f>F167</f>
        <v>1.78</v>
      </c>
      <c r="G166" s="180" t="str">
        <f>E166</f>
        <v>M3</v>
      </c>
      <c r="H166" s="142"/>
    </row>
    <row r="167" spans="1:8" s="143" customFormat="1" x14ac:dyDescent="0.25">
      <c r="A167" s="159"/>
      <c r="B167" s="160"/>
      <c r="C167" s="160"/>
      <c r="D167" s="162" t="s">
        <v>429</v>
      </c>
      <c r="E167" s="162"/>
      <c r="F167" s="167">
        <f>F161</f>
        <v>1.78</v>
      </c>
      <c r="G167" s="181" t="s">
        <v>90</v>
      </c>
      <c r="H167" s="142"/>
    </row>
    <row r="168" spans="1:8" s="143" customFormat="1" ht="30" x14ac:dyDescent="0.25">
      <c r="A168" s="150" t="str">
        <f>PO!A72</f>
        <v>1.7.9</v>
      </c>
      <c r="B168" s="155" t="str">
        <f>PO!B72</f>
        <v>CDHU-189</v>
      </c>
      <c r="C168" s="155" t="str">
        <f>PO!C72</f>
        <v>06.11.040</v>
      </c>
      <c r="D168" s="152" t="str">
        <f>PO!D72</f>
        <v>Reaterro manual apiloado sem controle de compactação</v>
      </c>
      <c r="E168" s="152" t="str">
        <f>PO!E72</f>
        <v>M3</v>
      </c>
      <c r="F168" s="165">
        <f>F169</f>
        <v>0.76</v>
      </c>
      <c r="G168" s="180" t="str">
        <f>E168</f>
        <v>M3</v>
      </c>
      <c r="H168" s="142"/>
    </row>
    <row r="169" spans="1:8" s="143" customFormat="1" x14ac:dyDescent="0.25">
      <c r="A169" s="159"/>
      <c r="B169" s="160"/>
      <c r="C169" s="159" t="s">
        <v>433</v>
      </c>
      <c r="E169" s="162"/>
      <c r="F169" s="165">
        <f>F170-F171</f>
        <v>0.76</v>
      </c>
      <c r="G169" s="180" t="s">
        <v>90</v>
      </c>
      <c r="H169" s="142"/>
    </row>
    <row r="170" spans="1:8" s="143" customFormat="1" x14ac:dyDescent="0.25">
      <c r="A170" s="159"/>
      <c r="B170" s="160"/>
      <c r="C170" s="160"/>
      <c r="D170" s="162" t="s">
        <v>434</v>
      </c>
      <c r="E170" s="162"/>
      <c r="F170" s="167">
        <f>F134</f>
        <v>1.84</v>
      </c>
      <c r="G170" s="181" t="s">
        <v>90</v>
      </c>
      <c r="H170" s="142"/>
    </row>
    <row r="171" spans="1:8" s="143" customFormat="1" x14ac:dyDescent="0.25">
      <c r="A171" s="159"/>
      <c r="B171" s="160"/>
      <c r="C171" s="160"/>
      <c r="D171" s="162" t="s">
        <v>435</v>
      </c>
      <c r="E171" s="162"/>
      <c r="F171" s="167">
        <f>F152</f>
        <v>1.08</v>
      </c>
      <c r="G171" s="181" t="s">
        <v>90</v>
      </c>
      <c r="H171" s="142"/>
    </row>
    <row r="172" spans="1:8" s="143" customFormat="1" ht="30" x14ac:dyDescent="0.25">
      <c r="A172" s="150" t="str">
        <f>PO!A73</f>
        <v>1.7.10</v>
      </c>
      <c r="B172" s="155" t="str">
        <f>PO!B73</f>
        <v>CDHU-189</v>
      </c>
      <c r="C172" s="155" t="str">
        <f>PO!C73</f>
        <v>33.03.750</v>
      </c>
      <c r="D172" s="152" t="str">
        <f>PO!D73</f>
        <v>Verniz acrílico</v>
      </c>
      <c r="E172" s="152" t="str">
        <f>PO!E73</f>
        <v>M2</v>
      </c>
      <c r="F172" s="165">
        <f>ROUND(F173*F174*F175,2)</f>
        <v>21.6</v>
      </c>
      <c r="G172" s="180" t="str">
        <f>E172</f>
        <v>M2</v>
      </c>
      <c r="H172" s="142"/>
    </row>
    <row r="173" spans="1:8" s="143" customFormat="1" x14ac:dyDescent="0.25">
      <c r="A173" s="159"/>
      <c r="B173" s="160"/>
      <c r="C173" s="160"/>
      <c r="D173" s="162" t="s">
        <v>420</v>
      </c>
      <c r="E173" s="162"/>
      <c r="F173" s="167">
        <f>F158</f>
        <v>1.2</v>
      </c>
      <c r="G173" s="181" t="s">
        <v>50</v>
      </c>
      <c r="H173" s="142"/>
    </row>
    <row r="174" spans="1:8" s="143" customFormat="1" x14ac:dyDescent="0.25">
      <c r="A174" s="159"/>
      <c r="B174" s="160"/>
      <c r="C174" s="160"/>
      <c r="D174" s="162" t="s">
        <v>436</v>
      </c>
      <c r="E174" s="162"/>
      <c r="F174" s="167">
        <v>3</v>
      </c>
      <c r="G174" s="181" t="s">
        <v>50</v>
      </c>
      <c r="H174" s="142"/>
    </row>
    <row r="175" spans="1:8" s="143" customFormat="1" x14ac:dyDescent="0.25">
      <c r="A175" s="159"/>
      <c r="B175" s="160"/>
      <c r="C175" s="160"/>
      <c r="D175" s="162" t="str">
        <f>D160</f>
        <v>nº de pilares = nº de blocos</v>
      </c>
      <c r="E175" s="162"/>
      <c r="F175" s="167">
        <f>F160</f>
        <v>6</v>
      </c>
      <c r="G175" s="181" t="s">
        <v>17</v>
      </c>
      <c r="H175" s="142"/>
    </row>
    <row r="176" spans="1:8" s="143" customFormat="1" ht="30" x14ac:dyDescent="0.25">
      <c r="A176" s="150" t="str">
        <f>PO!A74</f>
        <v>1.7.11</v>
      </c>
      <c r="B176" s="155" t="str">
        <f>PO!B74</f>
        <v>CDHU-189</v>
      </c>
      <c r="C176" s="155" t="str">
        <f>PO!C74</f>
        <v>17.01.020</v>
      </c>
      <c r="D176" s="152" t="str">
        <f>PO!D74</f>
        <v>Argamassa de regularização e/ou proteção</v>
      </c>
      <c r="E176" s="152" t="str">
        <f>PO!E74</f>
        <v>M3</v>
      </c>
      <c r="F176" s="165">
        <f>ROUND(F177*F178*F179*F180,2)</f>
        <v>0.01</v>
      </c>
      <c r="G176" s="180" t="str">
        <f>E176</f>
        <v>M3</v>
      </c>
      <c r="H176" s="142"/>
    </row>
    <row r="177" spans="1:8" s="143" customFormat="1" x14ac:dyDescent="0.25">
      <c r="A177" s="159"/>
      <c r="B177" s="160"/>
      <c r="C177" s="160"/>
      <c r="D177" s="162" t="s">
        <v>452</v>
      </c>
      <c r="E177" s="162"/>
      <c r="F177" s="167">
        <f>F182</f>
        <v>0.3</v>
      </c>
      <c r="G177" s="181" t="s">
        <v>50</v>
      </c>
      <c r="H177" s="142"/>
    </row>
    <row r="178" spans="1:8" s="143" customFormat="1" x14ac:dyDescent="0.25">
      <c r="A178" s="159"/>
      <c r="B178" s="160"/>
      <c r="C178" s="160"/>
      <c r="D178" s="162" t="s">
        <v>453</v>
      </c>
      <c r="E178" s="162"/>
      <c r="F178" s="167">
        <f>F183</f>
        <v>0.3</v>
      </c>
      <c r="G178" s="181" t="s">
        <v>50</v>
      </c>
      <c r="H178" s="142"/>
    </row>
    <row r="179" spans="1:8" s="143" customFormat="1" x14ac:dyDescent="0.25">
      <c r="A179" s="159"/>
      <c r="B179" s="160"/>
      <c r="C179" s="160"/>
      <c r="D179" s="162" t="s">
        <v>596</v>
      </c>
      <c r="E179" s="162"/>
      <c r="F179" s="167">
        <v>0.02</v>
      </c>
      <c r="G179" s="181" t="s">
        <v>50</v>
      </c>
      <c r="H179" s="142"/>
    </row>
    <row r="180" spans="1:8" s="143" customFormat="1" x14ac:dyDescent="0.25">
      <c r="A180" s="159"/>
      <c r="B180" s="160"/>
      <c r="C180" s="160"/>
      <c r="D180" s="162" t="s">
        <v>454</v>
      </c>
      <c r="E180" s="162"/>
      <c r="F180" s="167">
        <f>F175</f>
        <v>6</v>
      </c>
      <c r="G180" s="181" t="s">
        <v>17</v>
      </c>
      <c r="H180" s="142"/>
    </row>
    <row r="181" spans="1:8" s="143" customFormat="1" ht="30" x14ac:dyDescent="0.25">
      <c r="A181" s="150" t="str">
        <f>PO!A75</f>
        <v>1.7.12</v>
      </c>
      <c r="B181" s="155" t="str">
        <f>PO!B75</f>
        <v>SINAPI - 02/2023</v>
      </c>
      <c r="C181" s="155">
        <f>PO!C75</f>
        <v>1333</v>
      </c>
      <c r="D181" s="152" t="str">
        <f>PO!D75</f>
        <v>CHAPA DE ACO GROSSA, ASTM A36, E = 1/2 " (12,70 MM) 99,59 KG/M2</v>
      </c>
      <c r="E181" s="152" t="str">
        <f>PO!E75</f>
        <v>KG</v>
      </c>
      <c r="F181" s="165">
        <f>ROUND(F182*F183*F184*F185,2)</f>
        <v>53.78</v>
      </c>
      <c r="G181" s="180" t="str">
        <f>E181</f>
        <v>KG</v>
      </c>
      <c r="H181" s="142"/>
    </row>
    <row r="182" spans="1:8" s="143" customFormat="1" x14ac:dyDescent="0.25">
      <c r="A182" s="159"/>
      <c r="B182" s="160"/>
      <c r="C182" s="160"/>
      <c r="D182" s="162" t="s">
        <v>437</v>
      </c>
      <c r="E182" s="162"/>
      <c r="F182" s="167">
        <f>F162</f>
        <v>0.3</v>
      </c>
      <c r="G182" s="181" t="s">
        <v>50</v>
      </c>
      <c r="H182" s="142"/>
    </row>
    <row r="183" spans="1:8" s="143" customFormat="1" x14ac:dyDescent="0.25">
      <c r="A183" s="159"/>
      <c r="B183" s="160"/>
      <c r="C183" s="160"/>
      <c r="D183" s="162" t="s">
        <v>438</v>
      </c>
      <c r="E183" s="162"/>
      <c r="F183" s="167">
        <f>F163</f>
        <v>0.3</v>
      </c>
      <c r="G183" s="181" t="s">
        <v>50</v>
      </c>
      <c r="H183" s="142"/>
    </row>
    <row r="184" spans="1:8" s="143" customFormat="1" x14ac:dyDescent="0.25">
      <c r="A184" s="159"/>
      <c r="B184" s="160"/>
      <c r="C184" s="160"/>
      <c r="D184" s="162" t="s">
        <v>439</v>
      </c>
      <c r="E184" s="162"/>
      <c r="F184" s="167">
        <f>F165</f>
        <v>6</v>
      </c>
      <c r="G184" s="181" t="s">
        <v>17</v>
      </c>
      <c r="H184" s="142"/>
    </row>
    <row r="185" spans="1:8" s="143" customFormat="1" x14ac:dyDescent="0.25">
      <c r="A185" s="159"/>
      <c r="B185" s="160"/>
      <c r="C185" s="160"/>
      <c r="D185" s="162" t="s">
        <v>440</v>
      </c>
      <c r="E185" s="162"/>
      <c r="F185" s="167">
        <v>99.59</v>
      </c>
      <c r="G185" s="181" t="s">
        <v>441</v>
      </c>
      <c r="H185" s="142"/>
    </row>
    <row r="186" spans="1:8" s="143" customFormat="1" ht="30" x14ac:dyDescent="0.25">
      <c r="A186" s="150" t="str">
        <f>PO!A76</f>
        <v>1.7.13</v>
      </c>
      <c r="B186" s="155" t="str">
        <f>PO!B76</f>
        <v>CDHU-189</v>
      </c>
      <c r="C186" s="155" t="str">
        <f>PO!C76</f>
        <v>15.03.030</v>
      </c>
      <c r="D186" s="152" t="str">
        <f>PO!D76</f>
        <v>Fornecimento e montagem de estrutura em aço ASTM-A36, sem pintura</v>
      </c>
      <c r="E186" s="152" t="str">
        <f>PO!E76</f>
        <v>KG</v>
      </c>
      <c r="F186" s="165">
        <f>F187+F190</f>
        <v>653.06000000000006</v>
      </c>
      <c r="G186" s="180" t="str">
        <f>E186</f>
        <v>KG</v>
      </c>
      <c r="H186" s="142"/>
    </row>
    <row r="187" spans="1:8" s="143" customFormat="1" x14ac:dyDescent="0.25">
      <c r="A187" s="159"/>
      <c r="B187" s="160"/>
      <c r="C187" s="159" t="s">
        <v>442</v>
      </c>
      <c r="D187" s="162"/>
      <c r="E187" s="162"/>
      <c r="F187" s="165">
        <f>ROUND(F188*F189,2)</f>
        <v>201.96</v>
      </c>
      <c r="G187" s="180" t="s">
        <v>416</v>
      </c>
      <c r="H187" s="142"/>
    </row>
    <row r="188" spans="1:8" s="143" customFormat="1" x14ac:dyDescent="0.25">
      <c r="A188" s="159"/>
      <c r="B188" s="160"/>
      <c r="C188" s="160"/>
      <c r="D188" s="162" t="s">
        <v>443</v>
      </c>
      <c r="E188" s="162"/>
      <c r="F188" s="167">
        <f>9.9*2</f>
        <v>19.8</v>
      </c>
      <c r="G188" s="181" t="s">
        <v>50</v>
      </c>
      <c r="H188" s="142"/>
    </row>
    <row r="189" spans="1:8" s="143" customFormat="1" x14ac:dyDescent="0.25">
      <c r="A189" s="159"/>
      <c r="B189" s="160"/>
      <c r="C189" s="160"/>
      <c r="D189" s="162" t="s">
        <v>444</v>
      </c>
      <c r="E189" s="162"/>
      <c r="F189" s="167">
        <v>10.199999999999999</v>
      </c>
      <c r="G189" s="181" t="s">
        <v>445</v>
      </c>
      <c r="H189" s="142"/>
    </row>
    <row r="190" spans="1:8" s="143" customFormat="1" x14ac:dyDescent="0.25">
      <c r="A190" s="159"/>
      <c r="B190" s="160"/>
      <c r="C190" s="159" t="s">
        <v>446</v>
      </c>
      <c r="D190" s="162"/>
      <c r="E190" s="162"/>
      <c r="F190" s="165">
        <f>ROUND(F191*F192,2)</f>
        <v>451.1</v>
      </c>
      <c r="G190" s="180" t="s">
        <v>416</v>
      </c>
      <c r="H190" s="142"/>
    </row>
    <row r="191" spans="1:8" s="143" customFormat="1" x14ac:dyDescent="0.25">
      <c r="A191" s="159"/>
      <c r="B191" s="160"/>
      <c r="C191" s="160"/>
      <c r="D191" s="162" t="s">
        <v>443</v>
      </c>
      <c r="E191" s="162"/>
      <c r="F191" s="167">
        <f>25*5.2</f>
        <v>130</v>
      </c>
      <c r="G191" s="181" t="s">
        <v>50</v>
      </c>
      <c r="H191" s="142"/>
    </row>
    <row r="192" spans="1:8" s="143" customFormat="1" x14ac:dyDescent="0.25">
      <c r="A192" s="159"/>
      <c r="B192" s="160"/>
      <c r="C192" s="160"/>
      <c r="D192" s="162" t="s">
        <v>447</v>
      </c>
      <c r="E192" s="162"/>
      <c r="F192" s="167">
        <v>3.47</v>
      </c>
      <c r="G192" s="181" t="s">
        <v>445</v>
      </c>
      <c r="H192" s="142"/>
    </row>
    <row r="193" spans="1:8" s="143" customFormat="1" ht="30" x14ac:dyDescent="0.25">
      <c r="A193" s="150" t="str">
        <f>PO!A77</f>
        <v>1.7.14</v>
      </c>
      <c r="B193" s="155" t="str">
        <f>PO!B77</f>
        <v>CDHU-189</v>
      </c>
      <c r="C193" s="155" t="str">
        <f>PO!C77</f>
        <v>33.07.140</v>
      </c>
      <c r="D193" s="152" t="str">
        <f>PO!D77</f>
        <v>Pintura com esmalte alquídico em estrutura metálica</v>
      </c>
      <c r="E193" s="152" t="str">
        <f>PO!E77</f>
        <v>KG</v>
      </c>
      <c r="F193" s="165">
        <f>F194</f>
        <v>653.06000000000006</v>
      </c>
      <c r="G193" s="180" t="str">
        <f>E193</f>
        <v>KG</v>
      </c>
      <c r="H193" s="142"/>
    </row>
    <row r="194" spans="1:8" s="143" customFormat="1" x14ac:dyDescent="0.25">
      <c r="A194" s="159"/>
      <c r="B194" s="160"/>
      <c r="C194" s="160"/>
      <c r="D194" s="162" t="s">
        <v>448</v>
      </c>
      <c r="E194" s="162"/>
      <c r="F194" s="167">
        <f>F186</f>
        <v>653.06000000000006</v>
      </c>
      <c r="G194" s="181" t="s">
        <v>416</v>
      </c>
      <c r="H194" s="142"/>
    </row>
    <row r="195" spans="1:8" x14ac:dyDescent="0.25">
      <c r="A195" s="148" t="str">
        <f>PO!A78</f>
        <v>1.8</v>
      </c>
      <c r="B195" s="148"/>
      <c r="C195" s="148"/>
      <c r="D195" s="148" t="str">
        <f>PO!D78</f>
        <v>ESPELHO D'ÁGUA</v>
      </c>
      <c r="E195" s="149">
        <f>PO!E78</f>
        <v>0</v>
      </c>
      <c r="F195" s="164"/>
      <c r="G195" s="164"/>
    </row>
    <row r="196" spans="1:8" s="143" customFormat="1" ht="30" x14ac:dyDescent="0.25">
      <c r="A196" s="150" t="str">
        <f>PO!A79</f>
        <v>1.8.1</v>
      </c>
      <c r="B196" s="155" t="str">
        <f>PO!B79</f>
        <v>CDHU-189</v>
      </c>
      <c r="C196" s="155" t="str">
        <f>PO!C79</f>
        <v>07.02.020</v>
      </c>
      <c r="D196" s="152" t="str">
        <f>PO!D79</f>
        <v>Escavação mecanizada de valas ou cavas com profundidade de até 2 m</v>
      </c>
      <c r="E196" s="152" t="str">
        <f>PO!E79</f>
        <v>M3</v>
      </c>
      <c r="F196" s="165">
        <f>F197+F200</f>
        <v>29.060000000000002</v>
      </c>
      <c r="G196" s="180" t="str">
        <f>E196</f>
        <v>M3</v>
      </c>
      <c r="H196" s="142"/>
    </row>
    <row r="197" spans="1:8" s="143" customFormat="1" x14ac:dyDescent="0.25">
      <c r="A197" s="159"/>
      <c r="B197" s="160"/>
      <c r="C197" s="159" t="s">
        <v>590</v>
      </c>
      <c r="D197" s="162"/>
      <c r="E197" s="162"/>
      <c r="F197" s="165">
        <f>ROUND(F198*F199,2)</f>
        <v>24.8</v>
      </c>
      <c r="G197" s="180" t="s">
        <v>90</v>
      </c>
      <c r="H197" s="142"/>
    </row>
    <row r="198" spans="1:8" s="143" customFormat="1" x14ac:dyDescent="0.25">
      <c r="A198" s="159"/>
      <c r="B198" s="160"/>
      <c r="C198" s="160"/>
      <c r="D198" s="162" t="s">
        <v>498</v>
      </c>
      <c r="E198" s="162"/>
      <c r="F198" s="167">
        <v>52.76</v>
      </c>
      <c r="G198" s="181" t="s">
        <v>52</v>
      </c>
      <c r="H198" s="142"/>
    </row>
    <row r="199" spans="1:8" s="143" customFormat="1" x14ac:dyDescent="0.25">
      <c r="A199" s="159"/>
      <c r="B199" s="160"/>
      <c r="C199" s="160"/>
      <c r="D199" s="162" t="s">
        <v>408</v>
      </c>
      <c r="E199" s="162"/>
      <c r="F199" s="167">
        <v>0.47</v>
      </c>
      <c r="G199" s="181" t="s">
        <v>50</v>
      </c>
      <c r="H199" s="142"/>
    </row>
    <row r="200" spans="1:8" s="143" customFormat="1" x14ac:dyDescent="0.25">
      <c r="A200" s="159"/>
      <c r="B200" s="160"/>
      <c r="C200" s="159" t="s">
        <v>591</v>
      </c>
      <c r="D200" s="162"/>
      <c r="E200" s="162"/>
      <c r="F200" s="165">
        <f>ROUND(F201*F202*F203,2)</f>
        <v>4.26</v>
      </c>
      <c r="G200" s="180" t="s">
        <v>90</v>
      </c>
      <c r="H200" s="142"/>
    </row>
    <row r="201" spans="1:8" s="143" customFormat="1" x14ac:dyDescent="0.25">
      <c r="A201" s="159"/>
      <c r="B201" s="160"/>
      <c r="C201" s="160"/>
      <c r="D201" s="162" t="s">
        <v>592</v>
      </c>
      <c r="E201" s="162"/>
      <c r="F201" s="167">
        <f>25.25+22.07</f>
        <v>47.32</v>
      </c>
      <c r="G201" s="181" t="s">
        <v>50</v>
      </c>
      <c r="H201" s="142"/>
    </row>
    <row r="202" spans="1:8" s="143" customFormat="1" x14ac:dyDescent="0.25">
      <c r="A202" s="159"/>
      <c r="B202" s="160"/>
      <c r="C202" s="160"/>
      <c r="D202" s="162" t="s">
        <v>408</v>
      </c>
      <c r="E202" s="162"/>
      <c r="F202" s="167">
        <v>0.3</v>
      </c>
      <c r="G202" s="181" t="s">
        <v>50</v>
      </c>
      <c r="H202" s="142"/>
    </row>
    <row r="203" spans="1:8" s="143" customFormat="1" x14ac:dyDescent="0.25">
      <c r="A203" s="159"/>
      <c r="B203" s="160"/>
      <c r="C203" s="160"/>
      <c r="D203" s="162" t="s">
        <v>593</v>
      </c>
      <c r="E203" s="162"/>
      <c r="F203" s="167">
        <v>0.3</v>
      </c>
      <c r="G203" s="181" t="s">
        <v>50</v>
      </c>
      <c r="H203" s="142"/>
    </row>
    <row r="204" spans="1:8" s="143" customFormat="1" ht="45" x14ac:dyDescent="0.25">
      <c r="A204" s="150" t="str">
        <f>PO!A80</f>
        <v>1.8.2</v>
      </c>
      <c r="B204" s="155" t="str">
        <f>PO!B80</f>
        <v>SINAPI - 02/2023</v>
      </c>
      <c r="C204" s="155">
        <f>PO!C80</f>
        <v>96616</v>
      </c>
      <c r="D204" s="152" t="str">
        <f>PO!D80</f>
        <v>LASTRO DE CONCRETO MAGRO, APLICADO EM BLOCOS DE COROAMENTO OU SAPATAS. AF_08/2017</v>
      </c>
      <c r="E204" s="152" t="str">
        <f>PO!E80</f>
        <v>M3</v>
      </c>
      <c r="F204" s="165">
        <f>ROUND(F205*F206*F207,2)</f>
        <v>0.95</v>
      </c>
      <c r="G204" s="180" t="str">
        <f>E204</f>
        <v>M3</v>
      </c>
      <c r="H204" s="142"/>
    </row>
    <row r="205" spans="1:8" s="143" customFormat="1" x14ac:dyDescent="0.25">
      <c r="A205" s="159"/>
      <c r="B205" s="160"/>
      <c r="C205" s="160"/>
      <c r="D205" s="162" t="s">
        <v>412</v>
      </c>
      <c r="E205" s="162"/>
      <c r="F205" s="167">
        <v>0.05</v>
      </c>
      <c r="G205" s="181" t="s">
        <v>50</v>
      </c>
      <c r="H205" s="142"/>
    </row>
    <row r="206" spans="1:8" s="143" customFormat="1" x14ac:dyDescent="0.25">
      <c r="A206" s="159"/>
      <c r="B206" s="160"/>
      <c r="C206" s="160"/>
      <c r="D206" s="162" t="s">
        <v>499</v>
      </c>
      <c r="E206" s="162"/>
      <c r="F206" s="167">
        <v>0.6</v>
      </c>
      <c r="G206" s="181" t="s">
        <v>50</v>
      </c>
      <c r="H206" s="142"/>
    </row>
    <row r="207" spans="1:8" s="143" customFormat="1" ht="30" x14ac:dyDescent="0.25">
      <c r="A207" s="159"/>
      <c r="B207" s="160"/>
      <c r="C207" s="160"/>
      <c r="D207" s="162" t="s">
        <v>500</v>
      </c>
      <c r="E207" s="162"/>
      <c r="F207" s="167">
        <f>12.84*2+4.79+1.31</f>
        <v>31.779999999999998</v>
      </c>
      <c r="G207" s="181" t="s">
        <v>50</v>
      </c>
      <c r="H207" s="142"/>
    </row>
    <row r="208" spans="1:8" s="143" customFormat="1" ht="30" x14ac:dyDescent="0.25">
      <c r="A208" s="150" t="str">
        <f>PO!A81</f>
        <v>1.8.3</v>
      </c>
      <c r="B208" s="155" t="str">
        <f>PO!B81</f>
        <v>CDHU-189</v>
      </c>
      <c r="C208" s="155" t="str">
        <f>PO!C81</f>
        <v>14.01.050</v>
      </c>
      <c r="D208" s="152" t="str">
        <f>PO!D81</f>
        <v>Alvenaria de embasamento em bloco de concreto de 14 x 19 x 39 cm - classe A</v>
      </c>
      <c r="E208" s="152" t="str">
        <f>PO!E81</f>
        <v>M2</v>
      </c>
      <c r="F208" s="165">
        <f>F209+F212</f>
        <v>26.69</v>
      </c>
      <c r="G208" s="180" t="str">
        <f>E208</f>
        <v>M2</v>
      </c>
      <c r="H208" s="142"/>
    </row>
    <row r="209" spans="1:8" s="143" customFormat="1" x14ac:dyDescent="0.25">
      <c r="A209" s="159"/>
      <c r="B209" s="160"/>
      <c r="C209" s="159" t="s">
        <v>505</v>
      </c>
      <c r="D209" s="162"/>
      <c r="E209" s="162"/>
      <c r="F209" s="165">
        <f>ROUND(F210*F211,2)</f>
        <v>13.88</v>
      </c>
      <c r="G209" s="180" t="s">
        <v>52</v>
      </c>
      <c r="H209" s="142"/>
    </row>
    <row r="210" spans="1:8" s="143" customFormat="1" x14ac:dyDescent="0.25">
      <c r="A210" s="159"/>
      <c r="B210" s="160"/>
      <c r="C210" s="160"/>
      <c r="D210" s="162" t="s">
        <v>501</v>
      </c>
      <c r="E210" s="162"/>
      <c r="F210" s="167">
        <f>12.84*2+5.43+1.93</f>
        <v>33.04</v>
      </c>
      <c r="G210" s="181" t="s">
        <v>50</v>
      </c>
      <c r="H210" s="142"/>
    </row>
    <row r="211" spans="1:8" s="143" customFormat="1" x14ac:dyDescent="0.25">
      <c r="A211" s="159"/>
      <c r="B211" s="160"/>
      <c r="C211" s="160"/>
      <c r="D211" s="162" t="s">
        <v>502</v>
      </c>
      <c r="E211" s="162"/>
      <c r="F211" s="167">
        <v>0.42</v>
      </c>
      <c r="G211" s="181" t="s">
        <v>50</v>
      </c>
      <c r="H211" s="142"/>
    </row>
    <row r="212" spans="1:8" s="143" customFormat="1" x14ac:dyDescent="0.25">
      <c r="A212" s="159"/>
      <c r="B212" s="160"/>
      <c r="C212" s="159" t="s">
        <v>506</v>
      </c>
      <c r="D212" s="162"/>
      <c r="E212" s="162"/>
      <c r="F212" s="165">
        <f>ROUND(F213*F214,2)</f>
        <v>12.81</v>
      </c>
      <c r="G212" s="180" t="s">
        <v>52</v>
      </c>
      <c r="H212" s="142"/>
    </row>
    <row r="213" spans="1:8" s="143" customFormat="1" x14ac:dyDescent="0.25">
      <c r="A213" s="159"/>
      <c r="B213" s="160"/>
      <c r="C213" s="160"/>
      <c r="D213" s="162" t="s">
        <v>501</v>
      </c>
      <c r="E213" s="162"/>
      <c r="F213" s="167">
        <f>12.84*2+4.15+0.67</f>
        <v>30.5</v>
      </c>
      <c r="G213" s="181" t="s">
        <v>50</v>
      </c>
      <c r="H213" s="142"/>
    </row>
    <row r="214" spans="1:8" s="143" customFormat="1" x14ac:dyDescent="0.25">
      <c r="A214" s="159"/>
      <c r="B214" s="160"/>
      <c r="C214" s="160"/>
      <c r="D214" s="162" t="s">
        <v>502</v>
      </c>
      <c r="E214" s="162"/>
      <c r="F214" s="167">
        <f>F211</f>
        <v>0.42</v>
      </c>
      <c r="G214" s="181" t="s">
        <v>50</v>
      </c>
      <c r="H214" s="142"/>
    </row>
    <row r="215" spans="1:8" s="143" customFormat="1" ht="30" x14ac:dyDescent="0.25">
      <c r="A215" s="150" t="str">
        <f>PO!A82</f>
        <v>1.8.4</v>
      </c>
      <c r="B215" s="155" t="str">
        <f>PO!B82</f>
        <v>CDHU-189</v>
      </c>
      <c r="C215" s="155" t="str">
        <f>PO!C82</f>
        <v>14.01.060</v>
      </c>
      <c r="D215" s="152" t="str">
        <f>PO!D82</f>
        <v>Alvenaria de embasamento em bloco de concreto de 19 x 19 x 39 cm - classe A</v>
      </c>
      <c r="E215" s="152" t="str">
        <f>PO!E82</f>
        <v>M2</v>
      </c>
      <c r="F215" s="165">
        <f>F216</f>
        <v>13.35</v>
      </c>
      <c r="G215" s="180" t="str">
        <f>E215</f>
        <v>M2</v>
      </c>
      <c r="H215" s="142"/>
    </row>
    <row r="216" spans="1:8" s="143" customFormat="1" x14ac:dyDescent="0.25">
      <c r="A216" s="159"/>
      <c r="B216" s="160"/>
      <c r="C216" s="159" t="s">
        <v>507</v>
      </c>
      <c r="D216" s="162"/>
      <c r="E216" s="162"/>
      <c r="F216" s="165">
        <f>ROUND(F217*F218,2)</f>
        <v>13.35</v>
      </c>
      <c r="G216" s="180" t="s">
        <v>52</v>
      </c>
      <c r="H216" s="142"/>
    </row>
    <row r="217" spans="1:8" s="143" customFormat="1" x14ac:dyDescent="0.25">
      <c r="A217" s="159"/>
      <c r="B217" s="160"/>
      <c r="C217" s="160"/>
      <c r="D217" s="162" t="s">
        <v>501</v>
      </c>
      <c r="E217" s="162"/>
      <c r="F217" s="167">
        <f>12.84*2+4.79+1.31</f>
        <v>31.779999999999998</v>
      </c>
      <c r="G217" s="181" t="s">
        <v>50</v>
      </c>
      <c r="H217" s="142"/>
    </row>
    <row r="218" spans="1:8" s="143" customFormat="1" x14ac:dyDescent="0.25">
      <c r="A218" s="159"/>
      <c r="B218" s="160"/>
      <c r="C218" s="160"/>
      <c r="D218" s="162" t="s">
        <v>502</v>
      </c>
      <c r="E218" s="162"/>
      <c r="F218" s="167">
        <v>0.42</v>
      </c>
      <c r="G218" s="181" t="s">
        <v>50</v>
      </c>
      <c r="H218" s="142"/>
    </row>
    <row r="219" spans="1:8" s="143" customFormat="1" ht="30" x14ac:dyDescent="0.25">
      <c r="A219" s="150" t="str">
        <f>PO!A83</f>
        <v>1.8.5</v>
      </c>
      <c r="B219" s="155" t="str">
        <f>PO!B83</f>
        <v>CDHU-189</v>
      </c>
      <c r="C219" s="155" t="str">
        <f>PO!C83</f>
        <v>14.10.111</v>
      </c>
      <c r="D219" s="152" t="str">
        <f>PO!D83</f>
        <v>Alvenaria de bloco de concreto de vedação de 14 x 19 x 39 cm - classe C</v>
      </c>
      <c r="E219" s="152" t="str">
        <f>PO!E83</f>
        <v>M2</v>
      </c>
      <c r="F219" s="165">
        <f>F220+F223</f>
        <v>44.22</v>
      </c>
      <c r="G219" s="180" t="str">
        <f>E219</f>
        <v>M2</v>
      </c>
      <c r="H219" s="142"/>
    </row>
    <row r="220" spans="1:8" s="143" customFormat="1" x14ac:dyDescent="0.25">
      <c r="A220" s="159"/>
      <c r="B220" s="160"/>
      <c r="C220" s="159" t="s">
        <v>505</v>
      </c>
      <c r="D220" s="162"/>
      <c r="E220" s="162"/>
      <c r="F220" s="165">
        <f>ROUND(F221*F222,2)</f>
        <v>19.82</v>
      </c>
      <c r="G220" s="180" t="s">
        <v>52</v>
      </c>
      <c r="H220" s="142"/>
    </row>
    <row r="221" spans="1:8" s="143" customFormat="1" x14ac:dyDescent="0.25">
      <c r="A221" s="159"/>
      <c r="B221" s="160"/>
      <c r="C221" s="160"/>
      <c r="D221" s="162" t="s">
        <v>501</v>
      </c>
      <c r="E221" s="162"/>
      <c r="F221" s="167">
        <f>12.84*2+5.43+1.93</f>
        <v>33.04</v>
      </c>
      <c r="G221" s="181" t="s">
        <v>50</v>
      </c>
      <c r="H221" s="142"/>
    </row>
    <row r="222" spans="1:8" s="143" customFormat="1" x14ac:dyDescent="0.25">
      <c r="A222" s="159"/>
      <c r="B222" s="160"/>
      <c r="C222" s="160"/>
      <c r="D222" s="162" t="s">
        <v>502</v>
      </c>
      <c r="E222" s="162"/>
      <c r="F222" s="167">
        <v>0.6</v>
      </c>
      <c r="G222" s="181" t="s">
        <v>50</v>
      </c>
      <c r="H222" s="142"/>
    </row>
    <row r="223" spans="1:8" s="143" customFormat="1" x14ac:dyDescent="0.25">
      <c r="A223" s="159"/>
      <c r="B223" s="160"/>
      <c r="C223" s="159" t="s">
        <v>506</v>
      </c>
      <c r="D223" s="162"/>
      <c r="E223" s="162"/>
      <c r="F223" s="165">
        <f>ROUND(F224*F225,2)</f>
        <v>24.4</v>
      </c>
      <c r="G223" s="180" t="s">
        <v>52</v>
      </c>
      <c r="H223" s="142"/>
    </row>
    <row r="224" spans="1:8" s="143" customFormat="1" x14ac:dyDescent="0.25">
      <c r="A224" s="159"/>
      <c r="B224" s="160"/>
      <c r="C224" s="160"/>
      <c r="D224" s="162" t="s">
        <v>501</v>
      </c>
      <c r="E224" s="162"/>
      <c r="F224" s="167">
        <f>12.84*2+4.15+0.67</f>
        <v>30.5</v>
      </c>
      <c r="G224" s="181" t="s">
        <v>50</v>
      </c>
      <c r="H224" s="142"/>
    </row>
    <row r="225" spans="1:8" s="143" customFormat="1" x14ac:dyDescent="0.25">
      <c r="A225" s="159"/>
      <c r="B225" s="160"/>
      <c r="C225" s="160"/>
      <c r="D225" s="162" t="s">
        <v>502</v>
      </c>
      <c r="E225" s="162"/>
      <c r="F225" s="167">
        <v>0.8</v>
      </c>
      <c r="G225" s="181" t="s">
        <v>50</v>
      </c>
      <c r="H225" s="142"/>
    </row>
    <row r="226" spans="1:8" s="143" customFormat="1" ht="30" x14ac:dyDescent="0.25">
      <c r="A226" s="150" t="str">
        <f>PO!A84</f>
        <v>1.8.6</v>
      </c>
      <c r="B226" s="155" t="str">
        <f>PO!B84</f>
        <v>CDHU-189</v>
      </c>
      <c r="C226" s="155" t="str">
        <f>PO!C84</f>
        <v>14.10.121</v>
      </c>
      <c r="D226" s="152" t="str">
        <f>PO!D84</f>
        <v>Alvenaria de bloco de concreto de vedação de 19 x 19 x 39 cm - classe C</v>
      </c>
      <c r="E226" s="152" t="str">
        <f>PO!E84</f>
        <v>M2</v>
      </c>
      <c r="F226" s="165">
        <f>F227</f>
        <v>12.71</v>
      </c>
      <c r="G226" s="180" t="str">
        <f>E226</f>
        <v>M2</v>
      </c>
      <c r="H226" s="142"/>
    </row>
    <row r="227" spans="1:8" s="143" customFormat="1" x14ac:dyDescent="0.25">
      <c r="A227" s="159"/>
      <c r="B227" s="160"/>
      <c r="C227" s="159" t="s">
        <v>507</v>
      </c>
      <c r="D227" s="162"/>
      <c r="E227" s="162"/>
      <c r="F227" s="165">
        <f>ROUND(F228*F229,2)</f>
        <v>12.71</v>
      </c>
      <c r="G227" s="180" t="s">
        <v>52</v>
      </c>
      <c r="H227" s="142"/>
    </row>
    <row r="228" spans="1:8" s="143" customFormat="1" x14ac:dyDescent="0.25">
      <c r="A228" s="159"/>
      <c r="B228" s="160"/>
      <c r="C228" s="160"/>
      <c r="D228" s="162" t="s">
        <v>501</v>
      </c>
      <c r="E228" s="162"/>
      <c r="F228" s="167">
        <f>12.84*2+4.79+1.31</f>
        <v>31.779999999999998</v>
      </c>
      <c r="G228" s="181" t="s">
        <v>50</v>
      </c>
      <c r="H228" s="142"/>
    </row>
    <row r="229" spans="1:8" s="143" customFormat="1" x14ac:dyDescent="0.25">
      <c r="A229" s="159"/>
      <c r="B229" s="160"/>
      <c r="C229" s="160"/>
      <c r="D229" s="162" t="s">
        <v>502</v>
      </c>
      <c r="E229" s="162"/>
      <c r="F229" s="167">
        <v>0.4</v>
      </c>
      <c r="G229" s="181" t="s">
        <v>50</v>
      </c>
      <c r="H229" s="142"/>
    </row>
    <row r="230" spans="1:8" s="143" customFormat="1" ht="45" x14ac:dyDescent="0.25">
      <c r="A230" s="150" t="str">
        <f>PO!A85</f>
        <v>1.8.7</v>
      </c>
      <c r="B230" s="155" t="str">
        <f>PO!B85</f>
        <v>SINAPI - 02/2023</v>
      </c>
      <c r="C230" s="155">
        <f>PO!C85</f>
        <v>89998</v>
      </c>
      <c r="D230" s="152" t="str">
        <f>PO!D85</f>
        <v>ARMAÇÃO DE CINTA DE ALVENARIA ESTRUTURAL; DIÂMETRO DE 10,0 MM. AF_09/2021</v>
      </c>
      <c r="E230" s="152" t="str">
        <f>PO!E85</f>
        <v>KG</v>
      </c>
      <c r="F230" s="165">
        <f>F231+F235+F239</f>
        <v>117.63</v>
      </c>
      <c r="G230" s="180" t="str">
        <f>E230</f>
        <v>KG</v>
      </c>
      <c r="H230" s="142"/>
    </row>
    <row r="231" spans="1:8" s="143" customFormat="1" x14ac:dyDescent="0.25">
      <c r="A231" s="159"/>
      <c r="B231" s="160"/>
      <c r="C231" s="159" t="s">
        <v>505</v>
      </c>
      <c r="D231" s="162"/>
      <c r="E231" s="162"/>
      <c r="F231" s="165">
        <f>ROUND(F232*F233*F234,2)</f>
        <v>40.770000000000003</v>
      </c>
      <c r="G231" s="180" t="s">
        <v>416</v>
      </c>
      <c r="H231" s="142"/>
    </row>
    <row r="232" spans="1:8" s="143" customFormat="1" x14ac:dyDescent="0.25">
      <c r="A232" s="159"/>
      <c r="B232" s="160"/>
      <c r="C232" s="160"/>
      <c r="D232" s="162" t="s">
        <v>501</v>
      </c>
      <c r="E232" s="162"/>
      <c r="F232" s="167">
        <f>12.84*2+5.43+1.93</f>
        <v>33.04</v>
      </c>
      <c r="G232" s="181" t="s">
        <v>50</v>
      </c>
      <c r="H232" s="142"/>
    </row>
    <row r="233" spans="1:8" s="143" customFormat="1" x14ac:dyDescent="0.25">
      <c r="A233" s="159"/>
      <c r="B233" s="160"/>
      <c r="C233" s="160"/>
      <c r="D233" s="162" t="s">
        <v>503</v>
      </c>
      <c r="E233" s="162"/>
      <c r="F233" s="167">
        <v>2</v>
      </c>
      <c r="G233" s="181" t="s">
        <v>17</v>
      </c>
      <c r="H233" s="142"/>
    </row>
    <row r="234" spans="1:8" s="143" customFormat="1" x14ac:dyDescent="0.25">
      <c r="A234" s="159"/>
      <c r="B234" s="160"/>
      <c r="C234" s="160"/>
      <c r="D234" s="162" t="s">
        <v>504</v>
      </c>
      <c r="E234" s="162"/>
      <c r="F234" s="167">
        <f>aços!F43</f>
        <v>0.61699999999999999</v>
      </c>
      <c r="G234" s="181" t="s">
        <v>445</v>
      </c>
      <c r="H234" s="142"/>
    </row>
    <row r="235" spans="1:8" s="143" customFormat="1" x14ac:dyDescent="0.25">
      <c r="A235" s="159"/>
      <c r="B235" s="160"/>
      <c r="C235" s="159" t="s">
        <v>506</v>
      </c>
      <c r="D235" s="162"/>
      <c r="E235" s="162"/>
      <c r="F235" s="165">
        <f>ROUND(F236*F237*F238,2)</f>
        <v>37.64</v>
      </c>
      <c r="G235" s="180" t="s">
        <v>52</v>
      </c>
      <c r="H235" s="142"/>
    </row>
    <row r="236" spans="1:8" s="143" customFormat="1" x14ac:dyDescent="0.25">
      <c r="A236" s="159"/>
      <c r="B236" s="160"/>
      <c r="C236" s="160"/>
      <c r="D236" s="162" t="s">
        <v>501</v>
      </c>
      <c r="E236" s="162"/>
      <c r="F236" s="167">
        <f>12.84*2+4.15+0.67</f>
        <v>30.5</v>
      </c>
      <c r="G236" s="181" t="s">
        <v>50</v>
      </c>
      <c r="H236" s="142"/>
    </row>
    <row r="237" spans="1:8" s="143" customFormat="1" x14ac:dyDescent="0.25">
      <c r="A237" s="159"/>
      <c r="B237" s="160"/>
      <c r="C237" s="160"/>
      <c r="D237" s="162" t="str">
        <f>D233</f>
        <v>nº de barras</v>
      </c>
      <c r="E237" s="162"/>
      <c r="F237" s="167">
        <f>F233</f>
        <v>2</v>
      </c>
      <c r="G237" s="181" t="str">
        <f>G233</f>
        <v>unid</v>
      </c>
      <c r="H237" s="142"/>
    </row>
    <row r="238" spans="1:8" s="143" customFormat="1" x14ac:dyDescent="0.25">
      <c r="A238" s="159"/>
      <c r="B238" s="160"/>
      <c r="C238" s="160"/>
      <c r="D238" s="162" t="str">
        <f>D234</f>
        <v>massa específica aço  10mm</v>
      </c>
      <c r="E238" s="162"/>
      <c r="F238" s="167">
        <f>F234</f>
        <v>0.61699999999999999</v>
      </c>
      <c r="G238" s="181" t="str">
        <f>G234</f>
        <v>kg/m</v>
      </c>
      <c r="H238" s="142"/>
    </row>
    <row r="239" spans="1:8" s="143" customFormat="1" x14ac:dyDescent="0.25">
      <c r="A239" s="159"/>
      <c r="B239" s="160"/>
      <c r="C239" s="159" t="s">
        <v>507</v>
      </c>
      <c r="D239" s="162"/>
      <c r="E239" s="162"/>
      <c r="F239" s="165">
        <f>ROUND(F240*F241*F242,2)</f>
        <v>39.22</v>
      </c>
      <c r="G239" s="180" t="s">
        <v>52</v>
      </c>
      <c r="H239" s="142"/>
    </row>
    <row r="240" spans="1:8" s="143" customFormat="1" x14ac:dyDescent="0.25">
      <c r="A240" s="159"/>
      <c r="B240" s="160"/>
      <c r="C240" s="160"/>
      <c r="D240" s="162" t="s">
        <v>501</v>
      </c>
      <c r="E240" s="162"/>
      <c r="F240" s="167">
        <f>F228</f>
        <v>31.779999999999998</v>
      </c>
      <c r="G240" s="181" t="s">
        <v>50</v>
      </c>
      <c r="H240" s="142"/>
    </row>
    <row r="241" spans="1:8" s="143" customFormat="1" x14ac:dyDescent="0.25">
      <c r="A241" s="159"/>
      <c r="B241" s="160"/>
      <c r="C241" s="160"/>
      <c r="D241" s="162" t="str">
        <f>D237</f>
        <v>nº de barras</v>
      </c>
      <c r="E241" s="162"/>
      <c r="F241" s="167">
        <f>F237</f>
        <v>2</v>
      </c>
      <c r="G241" s="181" t="str">
        <f>G237</f>
        <v>unid</v>
      </c>
      <c r="H241" s="142"/>
    </row>
    <row r="242" spans="1:8" s="143" customFormat="1" x14ac:dyDescent="0.25">
      <c r="A242" s="159"/>
      <c r="B242" s="160"/>
      <c r="C242" s="160"/>
      <c r="D242" s="162" t="str">
        <f>D238</f>
        <v>massa específica aço  10mm</v>
      </c>
      <c r="E242" s="162"/>
      <c r="F242" s="167">
        <f>F238</f>
        <v>0.61699999999999999</v>
      </c>
      <c r="G242" s="181" t="str">
        <f>G238</f>
        <v>kg/m</v>
      </c>
      <c r="H242" s="142"/>
    </row>
    <row r="243" spans="1:8" s="143" customFormat="1" ht="30" x14ac:dyDescent="0.25">
      <c r="A243" s="150" t="str">
        <f>PO!A86</f>
        <v>1.8.8</v>
      </c>
      <c r="B243" s="155" t="str">
        <f>PO!B86</f>
        <v>CDHU-189</v>
      </c>
      <c r="C243" s="155" t="str">
        <f>PO!C86</f>
        <v>11.05.040</v>
      </c>
      <c r="D243" s="152" t="str">
        <f>PO!D86</f>
        <v>Argamassa graute</v>
      </c>
      <c r="E243" s="152" t="str">
        <f>PO!E86</f>
        <v>M3</v>
      </c>
      <c r="F243" s="165">
        <f>F244+F248+F252+F256</f>
        <v>8.01</v>
      </c>
      <c r="G243" s="180" t="str">
        <f>E243</f>
        <v>M3</v>
      </c>
      <c r="H243" s="142"/>
    </row>
    <row r="244" spans="1:8" s="143" customFormat="1" x14ac:dyDescent="0.25">
      <c r="A244" s="159"/>
      <c r="B244" s="160"/>
      <c r="C244" s="159" t="s">
        <v>508</v>
      </c>
      <c r="D244" s="162"/>
      <c r="E244" s="162"/>
      <c r="F244" s="165">
        <f>ROUND(F245*F246*F247,2)</f>
        <v>1.93</v>
      </c>
      <c r="G244" s="180" t="s">
        <v>416</v>
      </c>
      <c r="H244" s="142"/>
    </row>
    <row r="245" spans="1:8" s="143" customFormat="1" x14ac:dyDescent="0.25">
      <c r="A245" s="159"/>
      <c r="B245" s="160"/>
      <c r="C245" s="160"/>
      <c r="D245" s="162" t="s">
        <v>501</v>
      </c>
      <c r="E245" s="162"/>
      <c r="F245" s="167">
        <f>12.84*2+5.43+1.93</f>
        <v>33.04</v>
      </c>
      <c r="G245" s="181" t="s">
        <v>50</v>
      </c>
      <c r="H245" s="142"/>
    </row>
    <row r="246" spans="1:8" s="143" customFormat="1" x14ac:dyDescent="0.25">
      <c r="A246" s="159"/>
      <c r="B246" s="160"/>
      <c r="C246" s="160"/>
      <c r="D246" s="162" t="s">
        <v>509</v>
      </c>
      <c r="E246" s="162"/>
      <c r="F246" s="167">
        <v>5</v>
      </c>
      <c r="G246" s="181" t="s">
        <v>17</v>
      </c>
      <c r="H246" s="142"/>
    </row>
    <row r="247" spans="1:8" s="143" customFormat="1" x14ac:dyDescent="0.25">
      <c r="A247" s="159"/>
      <c r="B247" s="160"/>
      <c r="C247" s="160"/>
      <c r="D247" s="162" t="s">
        <v>510</v>
      </c>
      <c r="E247" s="162"/>
      <c r="F247" s="209">
        <v>1.1665999999999999E-2</v>
      </c>
      <c r="G247" s="181" t="s">
        <v>511</v>
      </c>
      <c r="H247" s="142"/>
    </row>
    <row r="248" spans="1:8" s="143" customFormat="1" x14ac:dyDescent="0.25">
      <c r="A248" s="159"/>
      <c r="B248" s="160"/>
      <c r="C248" s="159" t="s">
        <v>513</v>
      </c>
      <c r="D248" s="162"/>
      <c r="E248" s="162"/>
      <c r="F248" s="165">
        <f>ROUND(F249*F250*F251,2)</f>
        <v>2.13</v>
      </c>
      <c r="G248" s="180" t="s">
        <v>52</v>
      </c>
      <c r="H248" s="142"/>
    </row>
    <row r="249" spans="1:8" s="143" customFormat="1" x14ac:dyDescent="0.25">
      <c r="A249" s="159"/>
      <c r="B249" s="160"/>
      <c r="C249" s="160"/>
      <c r="D249" s="162" t="s">
        <v>501</v>
      </c>
      <c r="E249" s="162"/>
      <c r="F249" s="167">
        <f>12.84*2+4.15+0.67</f>
        <v>30.5</v>
      </c>
      <c r="G249" s="181" t="s">
        <v>50</v>
      </c>
      <c r="H249" s="142"/>
    </row>
    <row r="250" spans="1:8" s="143" customFormat="1" x14ac:dyDescent="0.25">
      <c r="A250" s="159"/>
      <c r="B250" s="160"/>
      <c r="C250" s="160"/>
      <c r="D250" s="162" t="str">
        <f>D246</f>
        <v>nº de fiadas</v>
      </c>
      <c r="E250" s="162"/>
      <c r="F250" s="167">
        <v>6</v>
      </c>
      <c r="G250" s="181" t="str">
        <f>G246</f>
        <v>unid</v>
      </c>
      <c r="H250" s="142"/>
    </row>
    <row r="251" spans="1:8" s="143" customFormat="1" x14ac:dyDescent="0.25">
      <c r="A251" s="159"/>
      <c r="B251" s="160"/>
      <c r="C251" s="160"/>
      <c r="D251" s="162" t="str">
        <f>D247</f>
        <v>fator de uso de argamasa</v>
      </c>
      <c r="E251" s="162"/>
      <c r="F251" s="210">
        <f>F247</f>
        <v>1.1665999999999999E-2</v>
      </c>
      <c r="G251" s="181" t="str">
        <f>G247</f>
        <v>m3/m</v>
      </c>
      <c r="H251" s="142"/>
    </row>
    <row r="252" spans="1:8" s="143" customFormat="1" x14ac:dyDescent="0.25">
      <c r="A252" s="159"/>
      <c r="B252" s="160"/>
      <c r="C252" s="159" t="s">
        <v>512</v>
      </c>
      <c r="D252" s="162"/>
      <c r="E252" s="162"/>
      <c r="F252" s="165">
        <f>ROUND(F253*F254*F255,2)</f>
        <v>2.17</v>
      </c>
      <c r="G252" s="180" t="s">
        <v>52</v>
      </c>
      <c r="H252" s="142"/>
    </row>
    <row r="253" spans="1:8" s="143" customFormat="1" x14ac:dyDescent="0.25">
      <c r="A253" s="159"/>
      <c r="B253" s="160"/>
      <c r="C253" s="160"/>
      <c r="D253" s="162" t="s">
        <v>501</v>
      </c>
      <c r="E253" s="162"/>
      <c r="F253" s="167">
        <f>F240</f>
        <v>31.779999999999998</v>
      </c>
      <c r="G253" s="181" t="s">
        <v>50</v>
      </c>
      <c r="H253" s="142"/>
    </row>
    <row r="254" spans="1:8" s="143" customFormat="1" x14ac:dyDescent="0.25">
      <c r="A254" s="159"/>
      <c r="B254" s="160"/>
      <c r="C254" s="160"/>
      <c r="D254" s="162" t="str">
        <f>D250</f>
        <v>nº de fiadas</v>
      </c>
      <c r="E254" s="162"/>
      <c r="F254" s="167">
        <v>4</v>
      </c>
      <c r="G254" s="181" t="str">
        <f>G250</f>
        <v>unid</v>
      </c>
      <c r="H254" s="142"/>
    </row>
    <row r="255" spans="1:8" s="143" customFormat="1" x14ac:dyDescent="0.25">
      <c r="A255" s="159"/>
      <c r="B255" s="160"/>
      <c r="C255" s="160"/>
      <c r="D255" s="162" t="str">
        <f>D251</f>
        <v>fator de uso de argamasa</v>
      </c>
      <c r="E255" s="162"/>
      <c r="F255" s="209">
        <v>1.7063999999999999E-2</v>
      </c>
      <c r="G255" s="181" t="str">
        <f>G251</f>
        <v>m3/m</v>
      </c>
      <c r="H255" s="142"/>
    </row>
    <row r="256" spans="1:8" s="143" customFormat="1" x14ac:dyDescent="0.25">
      <c r="A256" s="159"/>
      <c r="B256" s="160"/>
      <c r="C256" s="159" t="s">
        <v>514</v>
      </c>
      <c r="D256" s="162"/>
      <c r="E256" s="162"/>
      <c r="F256" s="165">
        <f>ROUND(F257*F258*F259,2)</f>
        <v>1.78</v>
      </c>
      <c r="G256" s="180" t="s">
        <v>90</v>
      </c>
      <c r="H256" s="142"/>
    </row>
    <row r="257" spans="1:8" s="143" customFormat="1" x14ac:dyDescent="0.25">
      <c r="A257" s="159"/>
      <c r="B257" s="160"/>
      <c r="C257" s="160"/>
      <c r="D257" s="162" t="s">
        <v>515</v>
      </c>
      <c r="E257" s="162"/>
      <c r="F257" s="167">
        <f>F253</f>
        <v>31.779999999999998</v>
      </c>
      <c r="G257" s="181" t="s">
        <v>50</v>
      </c>
      <c r="H257" s="142"/>
    </row>
    <row r="258" spans="1:8" s="143" customFormat="1" x14ac:dyDescent="0.25">
      <c r="A258" s="159"/>
      <c r="B258" s="160"/>
      <c r="C258" s="160"/>
      <c r="D258" s="162" t="s">
        <v>361</v>
      </c>
      <c r="E258" s="162"/>
      <c r="F258" s="167">
        <f>2*0.035</f>
        <v>7.0000000000000007E-2</v>
      </c>
      <c r="G258" s="181" t="s">
        <v>50</v>
      </c>
      <c r="H258" s="142"/>
    </row>
    <row r="259" spans="1:8" s="143" customFormat="1" x14ac:dyDescent="0.25">
      <c r="A259" s="159"/>
      <c r="B259" s="160"/>
      <c r="C259" s="160"/>
      <c r="D259" s="162" t="s">
        <v>89</v>
      </c>
      <c r="E259" s="162"/>
      <c r="F259" s="167">
        <f>0.4+0.4</f>
        <v>0.8</v>
      </c>
      <c r="G259" s="181" t="s">
        <v>50</v>
      </c>
      <c r="H259" s="142"/>
    </row>
    <row r="260" spans="1:8" s="143" customFormat="1" hidden="1" x14ac:dyDescent="0.25">
      <c r="A260" s="159"/>
      <c r="B260" s="160"/>
      <c r="C260" s="160"/>
      <c r="D260" s="162"/>
      <c r="E260" s="162"/>
      <c r="F260" s="167"/>
      <c r="G260" s="181"/>
      <c r="H260" s="142"/>
    </row>
    <row r="261" spans="1:8" s="143" customFormat="1" hidden="1" x14ac:dyDescent="0.25">
      <c r="A261" s="159"/>
      <c r="B261" s="160"/>
      <c r="C261" s="160"/>
      <c r="D261" s="162"/>
      <c r="E261" s="162"/>
      <c r="F261" s="167"/>
      <c r="G261" s="181"/>
      <c r="H261" s="142"/>
    </row>
    <row r="262" spans="1:8" s="143" customFormat="1" ht="30" x14ac:dyDescent="0.25">
      <c r="A262" s="150" t="str">
        <f>PO!A87</f>
        <v>1.8.9</v>
      </c>
      <c r="B262" s="155" t="str">
        <f>PO!B87</f>
        <v>CDHU-189</v>
      </c>
      <c r="C262" s="155" t="str">
        <f>PO!C87</f>
        <v>17.02.020</v>
      </c>
      <c r="D262" s="152" t="str">
        <f>PO!D87</f>
        <v>Chapisco</v>
      </c>
      <c r="E262" s="152" t="str">
        <f>PO!E87</f>
        <v>M2</v>
      </c>
      <c r="F262" s="165">
        <f>F263+F266+F269</f>
        <v>109.04</v>
      </c>
      <c r="G262" s="180" t="str">
        <f>E262</f>
        <v>M2</v>
      </c>
      <c r="H262" s="142"/>
    </row>
    <row r="263" spans="1:8" s="143" customFormat="1" x14ac:dyDescent="0.25">
      <c r="A263" s="159"/>
      <c r="B263" s="160"/>
      <c r="C263" s="161" t="s">
        <v>516</v>
      </c>
      <c r="D263" s="162"/>
      <c r="E263" s="162"/>
      <c r="F263" s="165">
        <f>ROUND(F264*F265,2)</f>
        <v>40.31</v>
      </c>
      <c r="G263" s="180" t="s">
        <v>52</v>
      </c>
      <c r="H263" s="142"/>
    </row>
    <row r="264" spans="1:8" s="143" customFormat="1" x14ac:dyDescent="0.25">
      <c r="A264" s="159"/>
      <c r="B264" s="160"/>
      <c r="C264" s="160"/>
      <c r="D264" s="162" t="s">
        <v>366</v>
      </c>
      <c r="E264" s="162"/>
      <c r="F264" s="167">
        <f>F245</f>
        <v>33.04</v>
      </c>
      <c r="G264" s="181" t="s">
        <v>50</v>
      </c>
      <c r="H264" s="142"/>
    </row>
    <row r="265" spans="1:8" s="143" customFormat="1" x14ac:dyDescent="0.25">
      <c r="A265" s="159"/>
      <c r="B265" s="160"/>
      <c r="C265" s="160"/>
      <c r="D265" s="162" t="s">
        <v>518</v>
      </c>
      <c r="E265" s="162"/>
      <c r="F265" s="167">
        <f>0.42+0.6+0.2</f>
        <v>1.22</v>
      </c>
      <c r="G265" s="181" t="s">
        <v>50</v>
      </c>
      <c r="H265" s="142"/>
    </row>
    <row r="266" spans="1:8" s="143" customFormat="1" x14ac:dyDescent="0.25">
      <c r="A266" s="159"/>
      <c r="B266" s="160"/>
      <c r="C266" s="161" t="s">
        <v>517</v>
      </c>
      <c r="D266" s="162"/>
      <c r="E266" s="162"/>
      <c r="F266" s="165">
        <f>ROUND(F267*F268,2)</f>
        <v>43.31</v>
      </c>
      <c r="G266" s="180" t="s">
        <v>52</v>
      </c>
      <c r="H266" s="142"/>
    </row>
    <row r="267" spans="1:8" s="143" customFormat="1" x14ac:dyDescent="0.25">
      <c r="A267" s="159"/>
      <c r="B267" s="160"/>
      <c r="C267" s="160"/>
      <c r="D267" s="162" t="s">
        <v>366</v>
      </c>
      <c r="E267" s="162"/>
      <c r="F267" s="167">
        <f>F249</f>
        <v>30.5</v>
      </c>
      <c r="G267" s="181" t="s">
        <v>50</v>
      </c>
      <c r="H267" s="142"/>
    </row>
    <row r="268" spans="1:8" s="143" customFormat="1" x14ac:dyDescent="0.25">
      <c r="A268" s="159"/>
      <c r="B268" s="160"/>
      <c r="C268" s="160"/>
      <c r="D268" s="162" t="s">
        <v>519</v>
      </c>
      <c r="E268" s="162"/>
      <c r="F268" s="167">
        <f>0.42+0.8+0.2</f>
        <v>1.42</v>
      </c>
      <c r="G268" s="181" t="s">
        <v>50</v>
      </c>
      <c r="H268" s="142"/>
    </row>
    <row r="269" spans="1:8" s="143" customFormat="1" x14ac:dyDescent="0.25">
      <c r="A269" s="159"/>
      <c r="B269" s="160"/>
      <c r="C269" s="161" t="s">
        <v>520</v>
      </c>
      <c r="D269" s="162"/>
      <c r="E269" s="162"/>
      <c r="F269" s="165">
        <f>ROUND(F270*F271,2)</f>
        <v>25.42</v>
      </c>
      <c r="G269" s="180" t="s">
        <v>52</v>
      </c>
      <c r="H269" s="142"/>
    </row>
    <row r="270" spans="1:8" s="143" customFormat="1" x14ac:dyDescent="0.25">
      <c r="A270" s="159"/>
      <c r="B270" s="160"/>
      <c r="C270" s="161"/>
      <c r="D270" s="162" t="s">
        <v>366</v>
      </c>
      <c r="E270" s="162"/>
      <c r="F270" s="167">
        <f>F253</f>
        <v>31.779999999999998</v>
      </c>
      <c r="G270" s="181" t="s">
        <v>50</v>
      </c>
      <c r="H270" s="142"/>
    </row>
    <row r="271" spans="1:8" s="143" customFormat="1" x14ac:dyDescent="0.25">
      <c r="A271" s="159"/>
      <c r="B271" s="160"/>
      <c r="C271" s="161"/>
      <c r="D271" s="162" t="s">
        <v>521</v>
      </c>
      <c r="E271" s="162"/>
      <c r="F271" s="167">
        <f>0.2+0.2+0.4</f>
        <v>0.8</v>
      </c>
      <c r="G271" s="181" t="s">
        <v>50</v>
      </c>
      <c r="H271" s="142"/>
    </row>
    <row r="272" spans="1:8" s="143" customFormat="1" ht="30" x14ac:dyDescent="0.25">
      <c r="A272" s="150" t="str">
        <f>PO!A88</f>
        <v>1.8.10</v>
      </c>
      <c r="B272" s="155" t="str">
        <f>PO!B88</f>
        <v>CDHU-189</v>
      </c>
      <c r="C272" s="155" t="str">
        <f>PO!C88</f>
        <v>17.02.120</v>
      </c>
      <c r="D272" s="152" t="str">
        <f>PO!D88</f>
        <v>Emboço comum</v>
      </c>
      <c r="E272" s="152" t="str">
        <f>PO!E88</f>
        <v>M2</v>
      </c>
      <c r="F272" s="165">
        <f>F273</f>
        <v>109.04</v>
      </c>
      <c r="G272" s="180" t="str">
        <f>E272</f>
        <v>M2</v>
      </c>
      <c r="H272" s="142"/>
    </row>
    <row r="273" spans="1:8" s="143" customFormat="1" x14ac:dyDescent="0.25">
      <c r="A273" s="159"/>
      <c r="B273" s="160"/>
      <c r="C273" s="160"/>
      <c r="D273" s="162" t="s">
        <v>522</v>
      </c>
      <c r="E273" s="162"/>
      <c r="F273" s="167">
        <f>F262</f>
        <v>109.04</v>
      </c>
      <c r="G273" s="181" t="s">
        <v>52</v>
      </c>
      <c r="H273" s="142"/>
    </row>
    <row r="274" spans="1:8" s="143" customFormat="1" ht="30" x14ac:dyDescent="0.25">
      <c r="A274" s="150" t="str">
        <f>PO!A89</f>
        <v>1.8.11</v>
      </c>
      <c r="B274" s="155" t="str">
        <f>PO!B89</f>
        <v>CDHU-189</v>
      </c>
      <c r="C274" s="155" t="str">
        <f>PO!C89</f>
        <v>06.11.040</v>
      </c>
      <c r="D274" s="152" t="str">
        <f>PO!D89</f>
        <v>Reaterro manual apiloado sem controle de compactação</v>
      </c>
      <c r="E274" s="152" t="str">
        <f>PO!E89</f>
        <v>M3</v>
      </c>
      <c r="F274" s="165">
        <f>F275+F278</f>
        <v>21.589999999999996</v>
      </c>
      <c r="G274" s="180" t="str">
        <f>E274</f>
        <v>M3</v>
      </c>
      <c r="H274" s="142"/>
    </row>
    <row r="275" spans="1:8" s="143" customFormat="1" x14ac:dyDescent="0.25">
      <c r="A275" s="159"/>
      <c r="B275" s="160"/>
      <c r="C275" s="159" t="s">
        <v>594</v>
      </c>
      <c r="D275" s="162"/>
      <c r="E275" s="162"/>
      <c r="F275" s="165">
        <f>ROUND(F276*F277,2)</f>
        <v>17.329999999999998</v>
      </c>
      <c r="G275" s="180" t="s">
        <v>90</v>
      </c>
      <c r="H275" s="142"/>
    </row>
    <row r="276" spans="1:8" s="143" customFormat="1" x14ac:dyDescent="0.25">
      <c r="A276" s="159"/>
      <c r="B276" s="160"/>
      <c r="C276" s="160"/>
      <c r="D276" s="162" t="s">
        <v>538</v>
      </c>
      <c r="E276" s="162"/>
      <c r="F276" s="167">
        <f>F280</f>
        <v>16.5</v>
      </c>
      <c r="G276" s="181" t="s">
        <v>52</v>
      </c>
      <c r="H276" s="142"/>
    </row>
    <row r="277" spans="1:8" s="143" customFormat="1" x14ac:dyDescent="0.25">
      <c r="A277" s="159"/>
      <c r="B277" s="160"/>
      <c r="C277" s="160"/>
      <c r="D277" s="162" t="s">
        <v>539</v>
      </c>
      <c r="E277" s="162"/>
      <c r="F277" s="167">
        <v>1.05</v>
      </c>
      <c r="G277" s="181" t="s">
        <v>50</v>
      </c>
      <c r="H277" s="142"/>
    </row>
    <row r="278" spans="1:8" s="143" customFormat="1" x14ac:dyDescent="0.25">
      <c r="A278" s="159"/>
      <c r="B278" s="160"/>
      <c r="C278" s="159" t="s">
        <v>595</v>
      </c>
      <c r="D278" s="162"/>
      <c r="E278" s="162"/>
      <c r="F278" s="165">
        <f>F200</f>
        <v>4.26</v>
      </c>
      <c r="G278" s="180" t="s">
        <v>90</v>
      </c>
      <c r="H278" s="142"/>
    </row>
    <row r="279" spans="1:8" s="143" customFormat="1" ht="30" x14ac:dyDescent="0.25">
      <c r="A279" s="150" t="str">
        <f>PO!A90</f>
        <v>1.8.12</v>
      </c>
      <c r="B279" s="155" t="str">
        <f>PO!B90</f>
        <v>CDHU-189</v>
      </c>
      <c r="C279" s="155" t="str">
        <f>PO!C90</f>
        <v>11.18.040</v>
      </c>
      <c r="D279" s="152" t="str">
        <f>PO!D90</f>
        <v>Lastro de pedra britada</v>
      </c>
      <c r="E279" s="152" t="str">
        <f>PO!E90</f>
        <v>M3</v>
      </c>
      <c r="F279" s="165">
        <f>ROUND(F280*F281,2)</f>
        <v>0.5</v>
      </c>
      <c r="G279" s="180" t="str">
        <f>E279</f>
        <v>M3</v>
      </c>
      <c r="H279" s="142"/>
    </row>
    <row r="280" spans="1:8" s="143" customFormat="1" x14ac:dyDescent="0.25">
      <c r="A280" s="159"/>
      <c r="B280" s="160"/>
      <c r="C280" s="160"/>
      <c r="D280" s="162" t="s">
        <v>523</v>
      </c>
      <c r="E280" s="162"/>
      <c r="F280" s="167">
        <v>16.5</v>
      </c>
      <c r="G280" s="181" t="s">
        <v>52</v>
      </c>
      <c r="H280" s="142"/>
    </row>
    <row r="281" spans="1:8" s="143" customFormat="1" x14ac:dyDescent="0.25">
      <c r="A281" s="159"/>
      <c r="B281" s="160"/>
      <c r="C281" s="160"/>
      <c r="D281" s="162" t="s">
        <v>412</v>
      </c>
      <c r="E281" s="162"/>
      <c r="F281" s="167">
        <v>0.03</v>
      </c>
      <c r="G281" s="181" t="s">
        <v>50</v>
      </c>
      <c r="H281" s="142"/>
    </row>
    <row r="282" spans="1:8" s="143" customFormat="1" ht="30" x14ac:dyDescent="0.25">
      <c r="A282" s="150" t="str">
        <f>PO!A91</f>
        <v>1.8.13</v>
      </c>
      <c r="B282" s="155" t="str">
        <f>PO!B91</f>
        <v>CDHU-189</v>
      </c>
      <c r="C282" s="155" t="str">
        <f>PO!C91</f>
        <v>11.18.060</v>
      </c>
      <c r="D282" s="152" t="str">
        <f>PO!D91</f>
        <v>Lona plástica</v>
      </c>
      <c r="E282" s="152" t="str">
        <f>PO!E91</f>
        <v>M2</v>
      </c>
      <c r="F282" s="165">
        <f>F283</f>
        <v>16.5</v>
      </c>
      <c r="G282" s="180" t="str">
        <f>E282</f>
        <v>M2</v>
      </c>
      <c r="H282" s="142"/>
    </row>
    <row r="283" spans="1:8" s="143" customFormat="1" x14ac:dyDescent="0.25">
      <c r="A283" s="159"/>
      <c r="B283" s="160"/>
      <c r="C283" s="160"/>
      <c r="D283" s="162" t="str">
        <f>D280</f>
        <v xml:space="preserve">área espelho d'água </v>
      </c>
      <c r="E283" s="162"/>
      <c r="F283" s="167">
        <f>F280</f>
        <v>16.5</v>
      </c>
      <c r="G283" s="181" t="str">
        <f>G280</f>
        <v>m2</v>
      </c>
      <c r="H283" s="142"/>
    </row>
    <row r="284" spans="1:8" s="143" customFormat="1" ht="30" x14ac:dyDescent="0.25">
      <c r="A284" s="150" t="str">
        <f>PO!A92</f>
        <v>1.8.14</v>
      </c>
      <c r="B284" s="155" t="str">
        <f>PO!B92</f>
        <v>CDHU-189</v>
      </c>
      <c r="C284" s="155" t="str">
        <f>PO!C92</f>
        <v>17.05.020</v>
      </c>
      <c r="D284" s="152" t="str">
        <f>PO!D92</f>
        <v>Piso com requadro em concreto simples sem controle de fck</v>
      </c>
      <c r="E284" s="152" t="str">
        <f>PO!E92</f>
        <v>M3</v>
      </c>
      <c r="F284" s="165">
        <f>ROUND(F285*F286,2)</f>
        <v>1.32</v>
      </c>
      <c r="G284" s="180" t="str">
        <f>E284</f>
        <v>M3</v>
      </c>
      <c r="H284" s="142"/>
    </row>
    <row r="285" spans="1:8" s="143" customFormat="1" x14ac:dyDescent="0.25">
      <c r="A285" s="159"/>
      <c r="B285" s="160"/>
      <c r="C285" s="160"/>
      <c r="D285" s="162" t="str">
        <f>D283</f>
        <v xml:space="preserve">área espelho d'água </v>
      </c>
      <c r="E285" s="162"/>
      <c r="F285" s="167">
        <f>F283</f>
        <v>16.5</v>
      </c>
      <c r="G285" s="181" t="str">
        <f>G283</f>
        <v>m2</v>
      </c>
      <c r="H285" s="142"/>
    </row>
    <row r="286" spans="1:8" s="143" customFormat="1" x14ac:dyDescent="0.25">
      <c r="A286" s="159"/>
      <c r="B286" s="160"/>
      <c r="C286" s="160"/>
      <c r="D286" s="162" t="s">
        <v>524</v>
      </c>
      <c r="E286" s="162"/>
      <c r="F286" s="167">
        <f>0.08</f>
        <v>0.08</v>
      </c>
      <c r="G286" s="181" t="s">
        <v>50</v>
      </c>
      <c r="H286" s="142"/>
    </row>
    <row r="287" spans="1:8" s="143" customFormat="1" ht="45" x14ac:dyDescent="0.25">
      <c r="A287" s="150" t="str">
        <f>PO!A93</f>
        <v>1.8.15</v>
      </c>
      <c r="B287" s="155" t="str">
        <f>PO!B93</f>
        <v>CDHU-189</v>
      </c>
      <c r="C287" s="155" t="str">
        <f>PO!C93</f>
        <v>18.12.020</v>
      </c>
      <c r="D287" s="152" t="str">
        <f>PO!D93</f>
        <v>Revestimento em pastilha de porcelana natural ou esmaltada de 5x5 cm, assentado e rejuntado com argamassa colante industrializada</v>
      </c>
      <c r="E287" s="152" t="str">
        <f>PO!E93</f>
        <v>M2</v>
      </c>
      <c r="F287" s="165">
        <f>F288+F291+F294</f>
        <v>81.069999999999993</v>
      </c>
      <c r="G287" s="180" t="str">
        <f>E287</f>
        <v>M2</v>
      </c>
      <c r="H287" s="142"/>
    </row>
    <row r="288" spans="1:8" s="143" customFormat="1" x14ac:dyDescent="0.25">
      <c r="A288" s="159"/>
      <c r="B288" s="160"/>
      <c r="C288" s="159" t="s">
        <v>525</v>
      </c>
      <c r="D288" s="162"/>
      <c r="E288" s="162"/>
      <c r="F288" s="165">
        <f>ROUND(F289*F290,2)</f>
        <v>26.43</v>
      </c>
      <c r="G288" s="180" t="s">
        <v>52</v>
      </c>
      <c r="H288" s="142"/>
    </row>
    <row r="289" spans="1:8" s="143" customFormat="1" x14ac:dyDescent="0.25">
      <c r="A289" s="159"/>
      <c r="B289" s="160"/>
      <c r="C289" s="160"/>
      <c r="D289" s="162" t="s">
        <v>526</v>
      </c>
      <c r="E289" s="162"/>
      <c r="F289" s="167">
        <f>F245</f>
        <v>33.04</v>
      </c>
      <c r="G289" s="181" t="s">
        <v>50</v>
      </c>
      <c r="H289" s="142"/>
    </row>
    <row r="290" spans="1:8" s="143" customFormat="1" x14ac:dyDescent="0.25">
      <c r="A290" s="159"/>
      <c r="B290" s="160"/>
      <c r="C290" s="160"/>
      <c r="D290" s="162" t="s">
        <v>89</v>
      </c>
      <c r="E290" s="162"/>
      <c r="F290" s="167">
        <v>0.8</v>
      </c>
      <c r="G290" s="181" t="s">
        <v>50</v>
      </c>
      <c r="H290" s="142"/>
    </row>
    <row r="291" spans="1:8" s="143" customFormat="1" x14ac:dyDescent="0.25">
      <c r="A291" s="159"/>
      <c r="B291" s="160"/>
      <c r="C291" s="159" t="s">
        <v>527</v>
      </c>
      <c r="D291" s="162"/>
      <c r="E291" s="162"/>
      <c r="F291" s="165">
        <f>ROUND(F292*F293,2)</f>
        <v>38.14</v>
      </c>
      <c r="G291" s="180" t="s">
        <v>52</v>
      </c>
      <c r="H291" s="142"/>
    </row>
    <row r="292" spans="1:8" s="143" customFormat="1" x14ac:dyDescent="0.25">
      <c r="A292" s="159"/>
      <c r="B292" s="160"/>
      <c r="C292" s="160"/>
      <c r="D292" s="162" t="s">
        <v>528</v>
      </c>
      <c r="E292" s="162"/>
      <c r="F292" s="167">
        <f>F253</f>
        <v>31.779999999999998</v>
      </c>
      <c r="G292" s="181" t="s">
        <v>50</v>
      </c>
      <c r="H292" s="142"/>
    </row>
    <row r="293" spans="1:8" s="143" customFormat="1" x14ac:dyDescent="0.25">
      <c r="A293" s="159"/>
      <c r="B293" s="160"/>
      <c r="C293" s="160"/>
      <c r="D293" s="162" t="s">
        <v>529</v>
      </c>
      <c r="E293" s="162"/>
      <c r="F293" s="167">
        <f>0.2+0.2+0.2+0.4+0.2</f>
        <v>1.2</v>
      </c>
      <c r="G293" s="181" t="s">
        <v>50</v>
      </c>
      <c r="H293" s="142"/>
    </row>
    <row r="294" spans="1:8" s="143" customFormat="1" x14ac:dyDescent="0.25">
      <c r="A294" s="159"/>
      <c r="B294" s="160"/>
      <c r="C294" s="159" t="s">
        <v>530</v>
      </c>
      <c r="D294" s="162"/>
      <c r="E294" s="162"/>
      <c r="F294" s="165">
        <f>F283</f>
        <v>16.5</v>
      </c>
      <c r="G294" s="180" t="s">
        <v>52</v>
      </c>
      <c r="H294" s="142"/>
    </row>
    <row r="295" spans="1:8" s="143" customFormat="1" ht="60" x14ac:dyDescent="0.25">
      <c r="A295" s="150" t="str">
        <f>PO!A94</f>
        <v>1.8.16</v>
      </c>
      <c r="B295" s="155" t="str">
        <f>PO!B94</f>
        <v>SINAPI - 02/2023</v>
      </c>
      <c r="C295" s="155">
        <f>PO!C94</f>
        <v>96800</v>
      </c>
      <c r="D295" s="152" t="str">
        <f>PO!D94</f>
        <v>TUBO, PEX, MONOCAMADA, DN 25, INSTALADO EM RAMAL/SUB-RAMAL OU DISTRIBUIÇÃO DE ÁGUA - FORNECIMENTO E INSTALAÇÃO. AF_02/2023</v>
      </c>
      <c r="E295" s="152" t="str">
        <f>PO!E94</f>
        <v>M</v>
      </c>
      <c r="F295" s="165">
        <f>F296</f>
        <v>81.64</v>
      </c>
      <c r="G295" s="180" t="str">
        <f>E295</f>
        <v>M</v>
      </c>
      <c r="H295" s="142"/>
    </row>
    <row r="296" spans="1:8" s="143" customFormat="1" x14ac:dyDescent="0.25">
      <c r="A296" s="159"/>
      <c r="B296" s="160"/>
      <c r="C296" s="160"/>
      <c r="D296" s="162" t="s">
        <v>540</v>
      </c>
      <c r="E296" s="162"/>
      <c r="F296" s="167">
        <f>11.25+25.25+0.7+16.68+25.66+0.7*3</f>
        <v>81.64</v>
      </c>
      <c r="G296" s="181" t="s">
        <v>50</v>
      </c>
      <c r="H296" s="142"/>
    </row>
    <row r="297" spans="1:8" s="143" customFormat="1" ht="60" x14ac:dyDescent="0.25">
      <c r="A297" s="150" t="str">
        <f>PO!A95</f>
        <v>1.8.17</v>
      </c>
      <c r="B297" s="155" t="str">
        <f>PO!B95</f>
        <v>SINAPI - 02/2023</v>
      </c>
      <c r="C297" s="155">
        <f>PO!C95</f>
        <v>96801</v>
      </c>
      <c r="D297" s="152" t="str">
        <f>PO!D95</f>
        <v>TUBO, PEX, MONOCAMADA, DN 32, INSTALADO EM RAMAL/SUB-RAMAL OU DISTRIBUIÇÃO DE ÁGUA - FORNECIMENTO E INSTALAÇÃO. AF_02/2023</v>
      </c>
      <c r="E297" s="152" t="str">
        <f>PO!E95</f>
        <v>M</v>
      </c>
      <c r="F297" s="165">
        <f>F298</f>
        <v>54.910000000000004</v>
      </c>
      <c r="G297" s="180" t="str">
        <f>E297</f>
        <v>M</v>
      </c>
      <c r="H297" s="142"/>
    </row>
    <row r="298" spans="1:8" s="143" customFormat="1" x14ac:dyDescent="0.25">
      <c r="A298" s="159"/>
      <c r="B298" s="160"/>
      <c r="C298" s="160"/>
      <c r="D298" s="162" t="s">
        <v>541</v>
      </c>
      <c r="E298" s="162"/>
      <c r="F298" s="167">
        <f>16.66+16.18+22.07</f>
        <v>54.910000000000004</v>
      </c>
      <c r="G298" s="181" t="s">
        <v>50</v>
      </c>
      <c r="H298" s="142"/>
    </row>
    <row r="299" spans="1:8" s="143" customFormat="1" ht="60" x14ac:dyDescent="0.25">
      <c r="A299" s="150" t="str">
        <f>PO!A96</f>
        <v>1.8.18</v>
      </c>
      <c r="B299" s="155" t="str">
        <f>PO!B96</f>
        <v>SINAPI - 02/2023</v>
      </c>
      <c r="C299" s="155">
        <f>PO!C96</f>
        <v>96817</v>
      </c>
      <c r="D299" s="152" t="str">
        <f>PO!D96</f>
        <v>CONEXÃO FIXA, ROSCA FÊMEA, METÁLICA, PARA INSTALAÇÕES EM PEX ÁGUA, DN 25 MM X 1", COM ANEL DESLIZANTE - FORNECIMENTO E INSTALAÇÃO. AF_02/2023</v>
      </c>
      <c r="E299" s="152" t="str">
        <f>PO!E96</f>
        <v>UN</v>
      </c>
      <c r="F299" s="165">
        <f>SUM(F300:F303)</f>
        <v>7</v>
      </c>
      <c r="G299" s="180" t="str">
        <f>E299</f>
        <v>UN</v>
      </c>
      <c r="H299" s="142"/>
    </row>
    <row r="300" spans="1:8" s="143" customFormat="1" x14ac:dyDescent="0.25">
      <c r="A300" s="159"/>
      <c r="B300" s="160"/>
      <c r="C300" s="159" t="s">
        <v>560</v>
      </c>
      <c r="D300" s="162"/>
      <c r="E300" s="162"/>
      <c r="F300" s="167"/>
      <c r="G300" s="181"/>
      <c r="H300" s="142"/>
    </row>
    <row r="301" spans="1:8" s="143" customFormat="1" x14ac:dyDescent="0.25">
      <c r="A301" s="159"/>
      <c r="B301" s="160"/>
      <c r="C301" s="160"/>
      <c r="D301" s="162" t="s">
        <v>561</v>
      </c>
      <c r="E301" s="162"/>
      <c r="F301" s="167">
        <v>1</v>
      </c>
      <c r="G301" s="181" t="s">
        <v>17</v>
      </c>
      <c r="H301" s="142"/>
    </row>
    <row r="302" spans="1:8" s="143" customFormat="1" x14ac:dyDescent="0.25">
      <c r="A302" s="159"/>
      <c r="B302" s="160"/>
      <c r="C302" s="160"/>
      <c r="D302" s="162" t="s">
        <v>559</v>
      </c>
      <c r="E302" s="162"/>
      <c r="F302" s="167">
        <v>2</v>
      </c>
      <c r="G302" s="181" t="s">
        <v>17</v>
      </c>
      <c r="H302" s="142"/>
    </row>
    <row r="303" spans="1:8" s="143" customFormat="1" x14ac:dyDescent="0.25">
      <c r="A303" s="159"/>
      <c r="B303" s="160"/>
      <c r="C303" s="160"/>
      <c r="D303" s="162" t="s">
        <v>562</v>
      </c>
      <c r="E303" s="162"/>
      <c r="F303" s="167">
        <v>4</v>
      </c>
      <c r="G303" s="181" t="s">
        <v>17</v>
      </c>
      <c r="H303" s="142"/>
    </row>
    <row r="304" spans="1:8" s="143" customFormat="1" ht="60" x14ac:dyDescent="0.25">
      <c r="A304" s="150" t="str">
        <f>PO!A97</f>
        <v>1.8.19</v>
      </c>
      <c r="B304" s="155" t="str">
        <f>PO!B97</f>
        <v>SINAPI - 02/2023</v>
      </c>
      <c r="C304" s="155">
        <f>PO!C97</f>
        <v>96821</v>
      </c>
      <c r="D304" s="152" t="str">
        <f>PO!D97</f>
        <v>CONEXÃO FIXA, ROSCA FÊMEA, METÁLICA, PARA INSTALAÇÕES EM PEX ÁGUA, DN 32 MM X 1", COM ANEL DESLIZANTE - FORNECIMENTO E INSTALAÇÃO. AF_02/2023</v>
      </c>
      <c r="E304" s="152" t="str">
        <f>PO!E97</f>
        <v>UN</v>
      </c>
      <c r="F304" s="165">
        <f>F306</f>
        <v>3</v>
      </c>
      <c r="G304" s="180" t="str">
        <f>E304</f>
        <v>UN</v>
      </c>
      <c r="H304" s="142"/>
    </row>
    <row r="305" spans="1:8" s="143" customFormat="1" x14ac:dyDescent="0.25">
      <c r="A305" s="159"/>
      <c r="B305" s="160"/>
      <c r="C305" s="159" t="s">
        <v>560</v>
      </c>
      <c r="D305" s="162"/>
      <c r="E305" s="162"/>
      <c r="F305" s="167"/>
      <c r="G305" s="181"/>
      <c r="H305" s="142"/>
    </row>
    <row r="306" spans="1:8" s="143" customFormat="1" x14ac:dyDescent="0.25">
      <c r="A306" s="159"/>
      <c r="B306" s="160"/>
      <c r="C306" s="160"/>
      <c r="D306" s="162" t="s">
        <v>563</v>
      </c>
      <c r="E306" s="162"/>
      <c r="F306" s="167">
        <v>3</v>
      </c>
      <c r="G306" s="181" t="s">
        <v>17</v>
      </c>
      <c r="H306" s="142"/>
    </row>
    <row r="307" spans="1:8" s="143" customFormat="1" ht="60" x14ac:dyDescent="0.25">
      <c r="A307" s="150" t="str">
        <f>PO!A98</f>
        <v>1.8.20</v>
      </c>
      <c r="B307" s="155" t="str">
        <f>PO!B98</f>
        <v>SINAPI - 02/2023</v>
      </c>
      <c r="C307" s="155">
        <f>PO!C98</f>
        <v>96864</v>
      </c>
      <c r="D307" s="152" t="str">
        <f>PO!D98</f>
        <v>TÊ, METÁLICO, PARA INSTALAÇÕES EM PEX ÁGUA, DN 25 MM, CONEXÃO POR ANEL DESLIZANTE - FORNECIMENTO E INSTALAÇÃO. AF_02/2023</v>
      </c>
      <c r="E307" s="152" t="str">
        <f>PO!E98</f>
        <v>UN</v>
      </c>
      <c r="F307" s="165">
        <f>SUM(F308:F310)</f>
        <v>2</v>
      </c>
      <c r="G307" s="180" t="str">
        <f>E307</f>
        <v>UN</v>
      </c>
      <c r="H307" s="142"/>
    </row>
    <row r="308" spans="1:8" s="143" customFormat="1" x14ac:dyDescent="0.25">
      <c r="A308" s="159"/>
      <c r="B308" s="160"/>
      <c r="C308" s="159" t="s">
        <v>564</v>
      </c>
      <c r="D308" s="162"/>
      <c r="E308" s="162"/>
      <c r="F308" s="167"/>
      <c r="G308" s="181"/>
      <c r="H308" s="142"/>
    </row>
    <row r="309" spans="1:8" s="143" customFormat="1" x14ac:dyDescent="0.25">
      <c r="A309" s="159"/>
      <c r="B309" s="160"/>
      <c r="C309" s="160"/>
      <c r="D309" s="162" t="s">
        <v>565</v>
      </c>
      <c r="E309" s="162"/>
      <c r="F309" s="167">
        <v>1</v>
      </c>
      <c r="G309" s="181" t="s">
        <v>17</v>
      </c>
      <c r="H309" s="142"/>
    </row>
    <row r="310" spans="1:8" s="143" customFormat="1" x14ac:dyDescent="0.25">
      <c r="A310" s="159"/>
      <c r="B310" s="160"/>
      <c r="C310" s="160"/>
      <c r="D310" s="162" t="s">
        <v>566</v>
      </c>
      <c r="E310" s="162"/>
      <c r="F310" s="167">
        <v>1</v>
      </c>
      <c r="G310" s="181" t="s">
        <v>17</v>
      </c>
      <c r="H310" s="142"/>
    </row>
    <row r="311" spans="1:8" s="143" customFormat="1" ht="60" x14ac:dyDescent="0.25">
      <c r="A311" s="150" t="str">
        <f>PO!A99</f>
        <v>1.8.21</v>
      </c>
      <c r="B311" s="155" t="str">
        <f>PO!B99</f>
        <v>SINAPI - 02/2023</v>
      </c>
      <c r="C311" s="155">
        <f>PO!C99</f>
        <v>96866</v>
      </c>
      <c r="D311" s="152" t="str">
        <f>PO!D99</f>
        <v>TÊ, METÁLICO, PARA INSTALAÇÕES EM PEX ÁGUA, DN 32 MM, CONEXÃO POR ANEL DESLIZANTE - FORNECIMENTO E INSTALAÇÃO. AF_02/2023</v>
      </c>
      <c r="E311" s="152" t="str">
        <f>PO!E99</f>
        <v>UN</v>
      </c>
      <c r="F311" s="165">
        <f>SUM(F312:F313)</f>
        <v>1</v>
      </c>
      <c r="G311" s="180" t="str">
        <f>E311</f>
        <v>UN</v>
      </c>
      <c r="H311" s="142"/>
    </row>
    <row r="312" spans="1:8" s="143" customFormat="1" x14ac:dyDescent="0.25">
      <c r="A312" s="159"/>
      <c r="B312" s="160"/>
      <c r="C312" s="159" t="s">
        <v>567</v>
      </c>
      <c r="D312" s="162"/>
      <c r="E312" s="162"/>
      <c r="F312" s="167"/>
      <c r="G312" s="181"/>
      <c r="H312" s="142"/>
    </row>
    <row r="313" spans="1:8" s="143" customFormat="1" x14ac:dyDescent="0.25">
      <c r="A313" s="159"/>
      <c r="B313" s="160"/>
      <c r="C313" s="160"/>
      <c r="D313" s="162" t="s">
        <v>568</v>
      </c>
      <c r="E313" s="162"/>
      <c r="F313" s="167">
        <v>1</v>
      </c>
      <c r="G313" s="181" t="s">
        <v>17</v>
      </c>
      <c r="H313" s="142"/>
    </row>
    <row r="314" spans="1:8" s="143" customFormat="1" ht="30" x14ac:dyDescent="0.25">
      <c r="A314" s="150" t="str">
        <f>PO!A100</f>
        <v>1.8.22</v>
      </c>
      <c r="B314" s="155" t="str">
        <f>PO!B100</f>
        <v>CDHU-189</v>
      </c>
      <c r="C314" s="155" t="str">
        <f>PO!C100</f>
        <v>47.01.190</v>
      </c>
      <c r="D314" s="152" t="str">
        <f>PO!D100</f>
        <v>Válvula de esfera monobloco em latão, passagem plena, acionamento com alavanca, DN= 1´</v>
      </c>
      <c r="E314" s="152" t="str">
        <f>PO!E100</f>
        <v>UN</v>
      </c>
      <c r="F314" s="165">
        <f>F315</f>
        <v>3</v>
      </c>
      <c r="G314" s="180" t="str">
        <f>E314</f>
        <v>UN</v>
      </c>
      <c r="H314" s="142"/>
    </row>
    <row r="315" spans="1:8" s="143" customFormat="1" x14ac:dyDescent="0.25">
      <c r="A315" s="159"/>
      <c r="B315" s="160"/>
      <c r="C315" s="160"/>
      <c r="D315" s="162" t="s">
        <v>569</v>
      </c>
      <c r="E315" s="162"/>
      <c r="F315" s="167">
        <v>3</v>
      </c>
      <c r="G315" s="181" t="s">
        <v>17</v>
      </c>
      <c r="H315" s="142"/>
    </row>
    <row r="316" spans="1:8" s="143" customFormat="1" ht="45" x14ac:dyDescent="0.25">
      <c r="A316" s="150" t="str">
        <f>PO!A101</f>
        <v>1.8.23</v>
      </c>
      <c r="B316" s="155" t="str">
        <f>PO!B101</f>
        <v>SINAPI-I - 02/2023</v>
      </c>
      <c r="C316" s="155">
        <f>PO!C101</f>
        <v>3264</v>
      </c>
      <c r="D316" s="152" t="str">
        <f>PO!D101</f>
        <v>FLANGE SEXTAVADO DE FERRO GALVANIZADO, COM ROSCA BSP, DE 1"</v>
      </c>
      <c r="E316" s="152" t="str">
        <f>PO!E101</f>
        <v xml:space="preserve">UN </v>
      </c>
      <c r="F316" s="165">
        <f>SUM(F318:F319)</f>
        <v>2</v>
      </c>
      <c r="G316" s="180" t="str">
        <f>E316</f>
        <v xml:space="preserve">UN </v>
      </c>
      <c r="H316" s="142"/>
    </row>
    <row r="317" spans="1:8" s="143" customFormat="1" x14ac:dyDescent="0.25">
      <c r="A317" s="159"/>
      <c r="B317" s="160"/>
      <c r="C317" s="159" t="s">
        <v>572</v>
      </c>
      <c r="D317" s="162"/>
      <c r="E317" s="162"/>
      <c r="F317" s="167"/>
      <c r="G317" s="181"/>
      <c r="H317" s="142"/>
    </row>
    <row r="318" spans="1:8" s="143" customFormat="1" x14ac:dyDescent="0.25">
      <c r="A318" s="159"/>
      <c r="B318" s="160"/>
      <c r="C318" s="160"/>
      <c r="D318" s="162" t="s">
        <v>573</v>
      </c>
      <c r="E318" s="162"/>
      <c r="F318" s="167">
        <v>1</v>
      </c>
      <c r="G318" s="181" t="s">
        <v>17</v>
      </c>
      <c r="H318" s="142"/>
    </row>
    <row r="319" spans="1:8" s="143" customFormat="1" x14ac:dyDescent="0.25">
      <c r="A319" s="159"/>
      <c r="B319" s="160"/>
      <c r="C319" s="160"/>
      <c r="D319" s="162" t="s">
        <v>574</v>
      </c>
      <c r="E319" s="162"/>
      <c r="F319" s="167">
        <v>1</v>
      </c>
      <c r="G319" s="181" t="s">
        <v>17</v>
      </c>
      <c r="H319" s="142"/>
    </row>
    <row r="320" spans="1:8" s="143" customFormat="1" ht="45" x14ac:dyDescent="0.25">
      <c r="A320" s="150" t="str">
        <f>PO!A102</f>
        <v>1.8.24</v>
      </c>
      <c r="B320" s="155" t="str">
        <f>PO!B102</f>
        <v>SINAPI-I - 02/2023</v>
      </c>
      <c r="C320" s="155">
        <f>PO!C102</f>
        <v>3265</v>
      </c>
      <c r="D320" s="152" t="str">
        <f>PO!D102</f>
        <v>FLANGE SEXTAVADO DE FERRO GALVANIZADO, COM ROSCA BSP, DE 1 1/4"</v>
      </c>
      <c r="E320" s="152" t="str">
        <f>PO!E102</f>
        <v>UN</v>
      </c>
      <c r="F320" s="165">
        <f>SUM(F322:F324)</f>
        <v>3</v>
      </c>
      <c r="G320" s="180" t="str">
        <f>E320</f>
        <v>UN</v>
      </c>
      <c r="H320" s="142"/>
    </row>
    <row r="321" spans="1:8" s="143" customFormat="1" x14ac:dyDescent="0.25">
      <c r="A321" s="159"/>
      <c r="B321" s="160"/>
      <c r="C321" s="159" t="s">
        <v>572</v>
      </c>
      <c r="D321" s="162"/>
      <c r="E321" s="162"/>
      <c r="F321" s="167"/>
      <c r="G321" s="181"/>
      <c r="H321" s="142"/>
    </row>
    <row r="322" spans="1:8" s="143" customFormat="1" x14ac:dyDescent="0.25">
      <c r="A322" s="159"/>
      <c r="B322" s="160"/>
      <c r="C322" s="160"/>
      <c r="D322" s="162" t="s">
        <v>575</v>
      </c>
      <c r="E322" s="162"/>
      <c r="F322" s="167">
        <v>1</v>
      </c>
      <c r="G322" s="181" t="s">
        <v>17</v>
      </c>
      <c r="H322" s="142"/>
    </row>
    <row r="323" spans="1:8" s="143" customFormat="1" x14ac:dyDescent="0.25">
      <c r="A323" s="159"/>
      <c r="B323" s="160"/>
      <c r="C323" s="160"/>
      <c r="D323" s="162" t="s">
        <v>576</v>
      </c>
      <c r="E323" s="162"/>
      <c r="F323" s="167">
        <v>1</v>
      </c>
      <c r="G323" s="181" t="s">
        <v>17</v>
      </c>
      <c r="H323" s="142"/>
    </row>
    <row r="324" spans="1:8" s="143" customFormat="1" x14ac:dyDescent="0.25">
      <c r="A324" s="159"/>
      <c r="B324" s="160"/>
      <c r="C324" s="160"/>
      <c r="D324" s="162" t="s">
        <v>577</v>
      </c>
      <c r="E324" s="162"/>
      <c r="F324" s="167">
        <v>1</v>
      </c>
      <c r="G324" s="181" t="s">
        <v>17</v>
      </c>
      <c r="H324" s="142"/>
    </row>
    <row r="325" spans="1:8" s="143" customFormat="1" ht="30" x14ac:dyDescent="0.25">
      <c r="A325" s="150" t="str">
        <f>PO!A103</f>
        <v>1.8.25</v>
      </c>
      <c r="B325" s="155" t="str">
        <f>PO!B103</f>
        <v>CDHU-189</v>
      </c>
      <c r="C325" s="155" t="str">
        <f>PO!C103</f>
        <v>43.10.230</v>
      </c>
      <c r="D325" s="152" t="str">
        <f>PO!D103</f>
        <v>Conjunto motor-bomba (centrífuga) 2 cv, monoestágio, Hman= 12 a 27 mca, Q= 25 a 8 m³/h</v>
      </c>
      <c r="E325" s="152" t="str">
        <f>PO!E103</f>
        <v>UN</v>
      </c>
      <c r="F325" s="165">
        <f>F326</f>
        <v>1</v>
      </c>
      <c r="G325" s="180" t="str">
        <f>E325</f>
        <v>UN</v>
      </c>
      <c r="H325" s="142"/>
    </row>
    <row r="326" spans="1:8" s="143" customFormat="1" x14ac:dyDescent="0.25">
      <c r="A326" s="159"/>
      <c r="B326" s="160"/>
      <c r="C326" s="160"/>
      <c r="D326" s="162" t="s">
        <v>578</v>
      </c>
      <c r="E326" s="162"/>
      <c r="F326" s="167">
        <v>1</v>
      </c>
      <c r="G326" s="181" t="s">
        <v>17</v>
      </c>
      <c r="H326" s="142"/>
    </row>
    <row r="327" spans="1:8" s="143" customFormat="1" ht="30" x14ac:dyDescent="0.25">
      <c r="A327" s="150" t="str">
        <f>PO!A104</f>
        <v>1.8.26</v>
      </c>
      <c r="B327" s="155" t="str">
        <f>PO!B104</f>
        <v>CDHU-189</v>
      </c>
      <c r="C327" s="155" t="str">
        <f>PO!C104</f>
        <v>50.01.220</v>
      </c>
      <c r="D327" s="152" t="str">
        <f>PO!D104</f>
        <v>Esguicho latão com engate rápido, DN= 1 1/2´, jato regulável</v>
      </c>
      <c r="E327" s="152" t="str">
        <f>PO!E104</f>
        <v>UN</v>
      </c>
      <c r="F327" s="165">
        <f>F328</f>
        <v>3</v>
      </c>
      <c r="G327" s="180" t="str">
        <f>E327</f>
        <v>UN</v>
      </c>
      <c r="H327" s="142"/>
    </row>
    <row r="328" spans="1:8" s="143" customFormat="1" x14ac:dyDescent="0.25">
      <c r="A328" s="159"/>
      <c r="B328" s="160"/>
      <c r="C328" s="160"/>
      <c r="D328" s="162" t="s">
        <v>582</v>
      </c>
      <c r="E328" s="162"/>
      <c r="F328" s="167">
        <v>3</v>
      </c>
      <c r="G328" s="181" t="s">
        <v>17</v>
      </c>
      <c r="H328" s="142"/>
    </row>
    <row r="329" spans="1:8" x14ac:dyDescent="0.25"/>
    <row r="330" spans="1:8" x14ac:dyDescent="0.25"/>
    <row r="331" spans="1:8" x14ac:dyDescent="0.25">
      <c r="D331" s="219"/>
    </row>
    <row r="332" spans="1:8" x14ac:dyDescent="0.25">
      <c r="D332" s="218" t="str">
        <f>BDI!E35</f>
        <v>DANIEL FRANCISCO</v>
      </c>
    </row>
    <row r="333" spans="1:8" x14ac:dyDescent="0.25">
      <c r="D333" s="218" t="str">
        <f>BDI!E36</f>
        <v>RESPONSÁVEL TÉCNICO</v>
      </c>
    </row>
    <row r="334" spans="1:8" x14ac:dyDescent="0.25">
      <c r="D334" s="218" t="str">
        <f>BDI!E37</f>
        <v>CREA-SP: 5070397010</v>
      </c>
    </row>
    <row r="335" spans="1:8" x14ac:dyDescent="0.25">
      <c r="D335" s="218" t="str">
        <f>BDI!E38</f>
        <v>ART: 28027230230620897</v>
      </c>
    </row>
    <row r="336" spans="1:8" x14ac:dyDescent="0.25"/>
  </sheetData>
  <sheetProtection algorithmName="SHA-512" hashValue="E9Tr3RZjTwY27d5N90Z/bbcrr87ywciNUedyWNYy1hLLMOIuhZM1JESyEWFVEC9Gxiygwr1fMxgM9ZdiXf8Qow==" saltValue="UnhVoOusEVfKQjIbEJq6tw==" spinCount="100000" sheet="1" objects="1" scenarios="1" selectLockedCells="1" selectUnlockedCells="1"/>
  <mergeCells count="9">
    <mergeCell ref="A6:H6"/>
    <mergeCell ref="A7:H7"/>
    <mergeCell ref="A8:H8"/>
    <mergeCell ref="A1:B5"/>
    <mergeCell ref="C1:H1"/>
    <mergeCell ref="C2:H2"/>
    <mergeCell ref="C3:H3"/>
    <mergeCell ref="C4:H4"/>
    <mergeCell ref="C5:H5"/>
  </mergeCells>
  <pageMargins left="0.59055118110236227" right="0.59055118110236227" top="0.59055118110236227" bottom="0.59055118110236227" header="0.31496062992125984" footer="0.31496062992125984"/>
  <pageSetup paperSize="9" scale="89" fitToHeight="0" orientation="portrait" horizontalDpi="4294967294" verticalDpi="4294967294" r:id="rId1"/>
  <headerFooter>
    <oddFooter>&amp;CPágina &amp;P de &amp;N&amp;R&amp;D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9"/>
  <sheetViews>
    <sheetView tabSelected="1" zoomScaleNormal="100" workbookViewId="0">
      <selection activeCell="I119" sqref="I119"/>
    </sheetView>
  </sheetViews>
  <sheetFormatPr defaultColWidth="0" defaultRowHeight="15" zeroHeight="1" x14ac:dyDescent="0.25"/>
  <cols>
    <col min="1" max="1" width="7.42578125" style="66" customWidth="1"/>
    <col min="2" max="2" width="11" style="67" customWidth="1"/>
    <col min="3" max="3" width="10.140625" style="2" customWidth="1"/>
    <col min="4" max="4" width="80.5703125" style="2" customWidth="1"/>
    <col min="5" max="5" width="8.42578125" style="2" customWidth="1"/>
    <col min="6" max="6" width="8.42578125" style="3" customWidth="1"/>
    <col min="7" max="7" width="12.42578125" style="2" customWidth="1"/>
    <col min="8" max="8" width="12" style="2" customWidth="1"/>
    <col min="9" max="9" width="15.85546875" style="2" customWidth="1"/>
    <col min="10" max="10" width="1.42578125" style="65" customWidth="1"/>
    <col min="11" max="16384" width="9.140625" style="65" hidden="1"/>
  </cols>
  <sheetData>
    <row r="1" spans="1:10" ht="20.25" x14ac:dyDescent="0.3">
      <c r="A1" s="230"/>
      <c r="B1" s="231"/>
      <c r="C1" s="232"/>
      <c r="D1" s="292"/>
      <c r="E1" s="292"/>
      <c r="F1" s="292"/>
      <c r="G1" s="292"/>
      <c r="H1" s="292"/>
      <c r="I1" s="293"/>
    </row>
    <row r="2" spans="1:10" ht="23.25" x14ac:dyDescent="0.35">
      <c r="A2" s="233"/>
      <c r="B2" s="234"/>
      <c r="C2" s="235"/>
      <c r="D2" s="294" t="s">
        <v>599</v>
      </c>
      <c r="E2" s="294"/>
      <c r="F2" s="294"/>
      <c r="G2" s="294"/>
      <c r="H2" s="294"/>
      <c r="I2" s="295"/>
    </row>
    <row r="3" spans="1:10" x14ac:dyDescent="0.25">
      <c r="A3" s="233"/>
      <c r="B3" s="234"/>
      <c r="C3" s="235"/>
      <c r="D3" s="296"/>
      <c r="E3" s="296"/>
      <c r="F3" s="296"/>
      <c r="G3" s="296"/>
      <c r="H3" s="296"/>
      <c r="I3" s="297"/>
    </row>
    <row r="4" spans="1:10" x14ac:dyDescent="0.25">
      <c r="A4" s="233"/>
      <c r="B4" s="234"/>
      <c r="C4" s="235"/>
      <c r="D4" s="296"/>
      <c r="E4" s="296"/>
      <c r="F4" s="296"/>
      <c r="G4" s="296"/>
      <c r="H4" s="296"/>
      <c r="I4" s="297"/>
    </row>
    <row r="5" spans="1:10" x14ac:dyDescent="0.25">
      <c r="A5" s="236"/>
      <c r="B5" s="237"/>
      <c r="C5" s="238"/>
      <c r="D5" s="298"/>
      <c r="E5" s="298"/>
      <c r="F5" s="298"/>
      <c r="G5" s="298"/>
      <c r="H5" s="298"/>
      <c r="I5" s="299"/>
    </row>
    <row r="6" spans="1:10" x14ac:dyDescent="0.25">
      <c r="A6" s="289" t="s">
        <v>78</v>
      </c>
      <c r="B6" s="290"/>
      <c r="C6" s="290"/>
      <c r="D6" s="290"/>
      <c r="E6" s="290"/>
      <c r="F6" s="290"/>
      <c r="G6" s="290"/>
      <c r="H6" s="290"/>
      <c r="I6" s="291"/>
    </row>
    <row r="7" spans="1:10" x14ac:dyDescent="0.25">
      <c r="A7" s="117"/>
      <c r="B7" s="118"/>
      <c r="C7" s="119"/>
      <c r="D7" s="119"/>
      <c r="E7" s="119"/>
      <c r="F7" s="119"/>
      <c r="G7" s="119"/>
      <c r="H7" s="119"/>
      <c r="I7" s="119"/>
    </row>
    <row r="8" spans="1:10" x14ac:dyDescent="0.25">
      <c r="A8" s="239" t="str">
        <f>BDI!B7</f>
        <v>OBJETO: PAISAGISMO DA ÁREA EXTERNA DO SALÃO MULTIUSO</v>
      </c>
      <c r="B8" s="240"/>
      <c r="C8" s="241"/>
      <c r="D8" s="241"/>
      <c r="E8" s="242"/>
      <c r="F8" s="242"/>
      <c r="G8" s="242"/>
      <c r="H8" s="242"/>
      <c r="I8" s="243"/>
    </row>
    <row r="9" spans="1:10" hidden="1" x14ac:dyDescent="0.25">
      <c r="A9" s="239" t="s">
        <v>154</v>
      </c>
      <c r="B9" s="240"/>
      <c r="C9" s="241"/>
      <c r="D9" s="242"/>
      <c r="E9" s="242"/>
      <c r="F9" s="242"/>
      <c r="G9" s="242"/>
      <c r="H9" s="242"/>
      <c r="I9" s="243"/>
    </row>
    <row r="10" spans="1:10" x14ac:dyDescent="0.25">
      <c r="A10" s="246" t="s">
        <v>600</v>
      </c>
      <c r="B10" s="240"/>
      <c r="C10" s="241"/>
      <c r="D10" s="242"/>
      <c r="E10" s="242"/>
      <c r="F10" s="242"/>
      <c r="G10" s="242"/>
      <c r="H10" s="242"/>
      <c r="I10" s="243"/>
    </row>
    <row r="11" spans="1:10" x14ac:dyDescent="0.25">
      <c r="A11" s="239" t="s">
        <v>79</v>
      </c>
      <c r="B11" s="244">
        <f>ROUND(BDI!F21,4)</f>
        <v>0.23899999999999999</v>
      </c>
      <c r="C11" s="245"/>
      <c r="D11" s="245"/>
      <c r="E11" s="242"/>
      <c r="F11" s="242"/>
      <c r="G11" s="242"/>
      <c r="H11" s="242"/>
      <c r="I11" s="243"/>
    </row>
    <row r="12" spans="1:10" hidden="1" x14ac:dyDescent="0.25">
      <c r="A12" s="120" t="s">
        <v>4</v>
      </c>
      <c r="B12" s="121">
        <f>ROUND(BDI!F21,4)</f>
        <v>0.23899999999999999</v>
      </c>
      <c r="C12" s="120"/>
      <c r="D12" s="122">
        <f>B12</f>
        <v>0.23899999999999999</v>
      </c>
      <c r="E12" s="120"/>
      <c r="F12" s="120"/>
      <c r="G12" s="120"/>
      <c r="H12" s="120"/>
      <c r="I12" s="120"/>
    </row>
    <row r="13" spans="1:10" s="68" customFormat="1" ht="28.5" x14ac:dyDescent="0.25">
      <c r="A13" s="123" t="s">
        <v>141</v>
      </c>
      <c r="B13" s="123" t="s">
        <v>142</v>
      </c>
      <c r="C13" s="123" t="s">
        <v>143</v>
      </c>
      <c r="D13" s="123" t="s">
        <v>5</v>
      </c>
      <c r="E13" s="123" t="s">
        <v>107</v>
      </c>
      <c r="F13" s="124" t="s">
        <v>108</v>
      </c>
      <c r="G13" s="125" t="s">
        <v>6</v>
      </c>
      <c r="H13" s="125" t="s">
        <v>101</v>
      </c>
      <c r="I13" s="125" t="s">
        <v>102</v>
      </c>
    </row>
    <row r="14" spans="1:10" s="116" customFormat="1" x14ac:dyDescent="0.25">
      <c r="A14" s="132">
        <v>1</v>
      </c>
      <c r="B14" s="133"/>
      <c r="C14" s="133"/>
      <c r="D14" s="132" t="s">
        <v>140</v>
      </c>
      <c r="E14" s="133" t="s">
        <v>3</v>
      </c>
      <c r="F14" s="134"/>
      <c r="G14" s="135"/>
      <c r="H14" s="135"/>
      <c r="I14" s="135">
        <f>I15+I17+I24+I27+I32+I57+I63+I78</f>
        <v>323415.79000000004</v>
      </c>
      <c r="J14" s="68"/>
    </row>
    <row r="15" spans="1:10" s="68" customFormat="1" x14ac:dyDescent="0.25">
      <c r="A15" s="126" t="s">
        <v>15</v>
      </c>
      <c r="B15" s="112"/>
      <c r="C15" s="112"/>
      <c r="D15" s="126" t="s">
        <v>147</v>
      </c>
      <c r="E15" s="112"/>
      <c r="F15" s="127"/>
      <c r="G15" s="131"/>
      <c r="H15" s="131"/>
      <c r="I15" s="131">
        <f>SUM(I16)</f>
        <v>443.02</v>
      </c>
    </row>
    <row r="16" spans="1:10" s="68" customFormat="1" x14ac:dyDescent="0.25">
      <c r="A16" s="128" t="s">
        <v>84</v>
      </c>
      <c r="B16" s="129" t="s">
        <v>150</v>
      </c>
      <c r="C16" s="129" t="s">
        <v>145</v>
      </c>
      <c r="D16" s="128" t="s">
        <v>146</v>
      </c>
      <c r="E16" s="129" t="s">
        <v>49</v>
      </c>
      <c r="F16" s="130">
        <f>MC!F12</f>
        <v>2</v>
      </c>
      <c r="G16" s="227">
        <v>178.78</v>
      </c>
      <c r="H16" s="141">
        <f>ROUND(G16*(1+$B$11),2)</f>
        <v>221.51</v>
      </c>
      <c r="I16" s="141">
        <f>ROUND(H16*F16,2)</f>
        <v>443.02</v>
      </c>
    </row>
    <row r="17" spans="1:9" s="68" customFormat="1" x14ac:dyDescent="0.25">
      <c r="A17" s="126" t="s">
        <v>16</v>
      </c>
      <c r="B17" s="112"/>
      <c r="C17" s="112"/>
      <c r="D17" s="126" t="s">
        <v>144</v>
      </c>
      <c r="E17" s="112"/>
      <c r="F17" s="127"/>
      <c r="G17" s="228"/>
      <c r="H17" s="131"/>
      <c r="I17" s="131">
        <f>SUM(I18:I23)</f>
        <v>5625.7099999999991</v>
      </c>
    </row>
    <row r="18" spans="1:9" s="68" customFormat="1" ht="30" x14ac:dyDescent="0.25">
      <c r="A18" s="128" t="s">
        <v>92</v>
      </c>
      <c r="B18" s="129" t="str">
        <f>B16</f>
        <v>CDHU-189</v>
      </c>
      <c r="C18" s="129" t="s">
        <v>148</v>
      </c>
      <c r="D18" s="128" t="s">
        <v>149</v>
      </c>
      <c r="E18" s="129" t="s">
        <v>49</v>
      </c>
      <c r="F18" s="130">
        <f>MC!F16</f>
        <v>212.66</v>
      </c>
      <c r="G18" s="229">
        <v>4.3</v>
      </c>
      <c r="H18" s="141">
        <f>ROUND(G18*(1+$B$11),2)</f>
        <v>5.33</v>
      </c>
      <c r="I18" s="141">
        <f>ROUND(H18*F18,2)</f>
        <v>1133.48</v>
      </c>
    </row>
    <row r="19" spans="1:9" s="68" customFormat="1" ht="30" x14ac:dyDescent="0.25">
      <c r="A19" s="128" t="s">
        <v>93</v>
      </c>
      <c r="B19" s="129" t="s">
        <v>156</v>
      </c>
      <c r="C19" s="129">
        <v>101114</v>
      </c>
      <c r="D19" s="128" t="s">
        <v>153</v>
      </c>
      <c r="E19" s="129" t="s">
        <v>51</v>
      </c>
      <c r="F19" s="130">
        <f>MC!F18</f>
        <v>81.040000000000006</v>
      </c>
      <c r="G19" s="229">
        <v>4.32</v>
      </c>
      <c r="H19" s="141">
        <f t="shared" ref="H19:H21" si="0">ROUND(G19*(1+$B$11),2)</f>
        <v>5.35</v>
      </c>
      <c r="I19" s="141">
        <f t="shared" ref="I19" si="1">ROUND(H19*F19,2)</f>
        <v>433.56</v>
      </c>
    </row>
    <row r="20" spans="1:9" s="68" customFormat="1" ht="60" x14ac:dyDescent="0.25">
      <c r="A20" s="128" t="s">
        <v>94</v>
      </c>
      <c r="B20" s="129" t="str">
        <f>B19</f>
        <v>SINAPI - 02/2023</v>
      </c>
      <c r="C20" s="129">
        <v>100980</v>
      </c>
      <c r="D20" s="128" t="s">
        <v>155</v>
      </c>
      <c r="E20" s="129" t="s">
        <v>51</v>
      </c>
      <c r="F20" s="130">
        <f>MC!F21</f>
        <v>81.040000000000006</v>
      </c>
      <c r="G20" s="229">
        <v>6.09</v>
      </c>
      <c r="H20" s="141">
        <f t="shared" si="0"/>
        <v>7.55</v>
      </c>
      <c r="I20" s="141">
        <f t="shared" ref="I20:I21" si="2">ROUND(H20*F20,2)</f>
        <v>611.85</v>
      </c>
    </row>
    <row r="21" spans="1:9" s="68" customFormat="1" ht="30" x14ac:dyDescent="0.25">
      <c r="A21" s="128" t="s">
        <v>95</v>
      </c>
      <c r="B21" s="129" t="str">
        <f>B20</f>
        <v>SINAPI - 02/2023</v>
      </c>
      <c r="C21" s="129">
        <v>95877</v>
      </c>
      <c r="D21" s="128" t="s">
        <v>157</v>
      </c>
      <c r="E21" s="129" t="s">
        <v>104</v>
      </c>
      <c r="F21" s="130">
        <f>MC!F23</f>
        <v>81.040000000000006</v>
      </c>
      <c r="G21" s="229">
        <v>1.78</v>
      </c>
      <c r="H21" s="141">
        <f t="shared" si="0"/>
        <v>2.21</v>
      </c>
      <c r="I21" s="141">
        <f t="shared" si="2"/>
        <v>179.1</v>
      </c>
    </row>
    <row r="22" spans="1:9" s="68" customFormat="1" x14ac:dyDescent="0.25">
      <c r="A22" s="128" t="s">
        <v>96</v>
      </c>
      <c r="B22" s="129" t="str">
        <f>B18</f>
        <v>CDHU-189</v>
      </c>
      <c r="C22" s="129" t="s">
        <v>151</v>
      </c>
      <c r="D22" s="128" t="s">
        <v>152</v>
      </c>
      <c r="E22" s="129" t="s">
        <v>91</v>
      </c>
      <c r="F22" s="130">
        <f>MC!F26</f>
        <v>1</v>
      </c>
      <c r="G22" s="229">
        <v>255.09</v>
      </c>
      <c r="H22" s="141">
        <f>ROUND(G22*(1+$B$11),2)</f>
        <v>316.06</v>
      </c>
      <c r="I22" s="141">
        <f>ROUND(H22*F22,2)</f>
        <v>316.06</v>
      </c>
    </row>
    <row r="23" spans="1:9" s="68" customFormat="1" ht="30" x14ac:dyDescent="0.25">
      <c r="A23" s="128" t="s">
        <v>103</v>
      </c>
      <c r="B23" s="129" t="str">
        <f>B22</f>
        <v>CDHU-189</v>
      </c>
      <c r="C23" s="129" t="s">
        <v>193</v>
      </c>
      <c r="D23" s="128" t="s">
        <v>194</v>
      </c>
      <c r="E23" s="129" t="s">
        <v>51</v>
      </c>
      <c r="F23" s="130">
        <f>MC!F28</f>
        <v>7.49</v>
      </c>
      <c r="G23" s="229">
        <v>318.06</v>
      </c>
      <c r="H23" s="141">
        <f>ROUND(G23*(1+$B$11),2)</f>
        <v>394.08</v>
      </c>
      <c r="I23" s="141">
        <f>ROUND(H23*F23,2)</f>
        <v>2951.66</v>
      </c>
    </row>
    <row r="24" spans="1:9" s="68" customFormat="1" x14ac:dyDescent="0.25">
      <c r="A24" s="126" t="s">
        <v>97</v>
      </c>
      <c r="B24" s="112"/>
      <c r="C24" s="112"/>
      <c r="D24" s="126" t="s">
        <v>166</v>
      </c>
      <c r="E24" s="112"/>
      <c r="F24" s="127"/>
      <c r="G24" s="228"/>
      <c r="H24" s="131"/>
      <c r="I24" s="131">
        <f>SUM(I25:I26)</f>
        <v>134253.86000000002</v>
      </c>
    </row>
    <row r="25" spans="1:9" s="68" customFormat="1" ht="30" x14ac:dyDescent="0.25">
      <c r="A25" s="128" t="s">
        <v>98</v>
      </c>
      <c r="B25" s="129" t="s">
        <v>167</v>
      </c>
      <c r="C25" s="129" t="str">
        <f>COMP!B2</f>
        <v>PMBT.23.001</v>
      </c>
      <c r="D25" s="128" t="str">
        <f>COMP!D2</f>
        <v>Pavimentação em lajota retangular de concreto 35 MPa, espessura 6 cm, cor natural, com lastro e rejunte em pó de pedra</v>
      </c>
      <c r="E25" s="129" t="s">
        <v>49</v>
      </c>
      <c r="F25" s="130">
        <f>MC!F35</f>
        <v>941.38</v>
      </c>
      <c r="G25" s="229">
        <f>COMP!I2</f>
        <v>100.23</v>
      </c>
      <c r="H25" s="141">
        <f>ROUND(G25*(1+$B$11),2)</f>
        <v>124.18</v>
      </c>
      <c r="I25" s="141">
        <f>ROUND(H25*F25,2)</f>
        <v>116900.57</v>
      </c>
    </row>
    <row r="26" spans="1:9" s="68" customFormat="1" ht="30" x14ac:dyDescent="0.25">
      <c r="A26" s="128" t="s">
        <v>99</v>
      </c>
      <c r="B26" s="129" t="str">
        <f>B25</f>
        <v>COMPOSIÇÃO</v>
      </c>
      <c r="C26" s="129" t="str">
        <f>COMP!B8</f>
        <v>PMBT.23.002</v>
      </c>
      <c r="D26" s="128" t="str">
        <f>COMP!D8</f>
        <v>Pavimentação em lajota retangular de concreto 35 MPa, espessura 6 cm, colorido, com lastro e rejunte em pó de pedra</v>
      </c>
      <c r="E26" s="129" t="s">
        <v>49</v>
      </c>
      <c r="F26" s="130">
        <f>MC!F37</f>
        <v>137.43</v>
      </c>
      <c r="G26" s="229">
        <f>COMP!I8</f>
        <v>101.91</v>
      </c>
      <c r="H26" s="141">
        <f>ROUND(G26*(1+$B$11),2)</f>
        <v>126.27</v>
      </c>
      <c r="I26" s="141">
        <f>ROUND(H26*F26,2)</f>
        <v>17353.29</v>
      </c>
    </row>
    <row r="27" spans="1:9" s="68" customFormat="1" x14ac:dyDescent="0.25">
      <c r="A27" s="126" t="s">
        <v>100</v>
      </c>
      <c r="B27" s="114"/>
      <c r="C27" s="114"/>
      <c r="D27" s="126" t="s">
        <v>205</v>
      </c>
      <c r="E27" s="114"/>
      <c r="F27" s="127"/>
      <c r="G27" s="228"/>
      <c r="H27" s="131"/>
      <c r="I27" s="131">
        <f>SUM(I28:I31)</f>
        <v>14958.789999999999</v>
      </c>
    </row>
    <row r="28" spans="1:9" s="68" customFormat="1" x14ac:dyDescent="0.25">
      <c r="A28" s="128" t="s">
        <v>213</v>
      </c>
      <c r="B28" s="129" t="str">
        <f>B23</f>
        <v>CDHU-189</v>
      </c>
      <c r="C28" s="129" t="s">
        <v>206</v>
      </c>
      <c r="D28" s="128" t="s">
        <v>207</v>
      </c>
      <c r="E28" s="129" t="s">
        <v>49</v>
      </c>
      <c r="F28" s="130">
        <f>MC!F41</f>
        <v>393.75</v>
      </c>
      <c r="G28" s="229">
        <v>16.399999999999999</v>
      </c>
      <c r="H28" s="141">
        <f>ROUND(G28*(1+$B$11),2)</f>
        <v>20.32</v>
      </c>
      <c r="I28" s="141">
        <f>ROUND(H28*F28,2)</f>
        <v>8001</v>
      </c>
    </row>
    <row r="29" spans="1:9" s="68" customFormat="1" x14ac:dyDescent="0.25">
      <c r="A29" s="128" t="s">
        <v>214</v>
      </c>
      <c r="B29" s="129" t="str">
        <f>B28</f>
        <v>CDHU-189</v>
      </c>
      <c r="C29" s="129" t="s">
        <v>208</v>
      </c>
      <c r="D29" s="128" t="s">
        <v>209</v>
      </c>
      <c r="E29" s="129" t="s">
        <v>91</v>
      </c>
      <c r="F29" s="130">
        <f>MC!F43</f>
        <v>45</v>
      </c>
      <c r="G29" s="229">
        <v>56.31</v>
      </c>
      <c r="H29" s="141">
        <f t="shared" ref="H29:H56" si="3">ROUND(G29*(1+$B$11),2)</f>
        <v>69.77</v>
      </c>
      <c r="I29" s="141">
        <f t="shared" ref="I29:I30" si="4">ROUND(H29*F29,2)</f>
        <v>3139.65</v>
      </c>
    </row>
    <row r="30" spans="1:9" s="68" customFormat="1" x14ac:dyDescent="0.25">
      <c r="A30" s="128" t="s">
        <v>215</v>
      </c>
      <c r="B30" s="129" t="str">
        <f>B29</f>
        <v>CDHU-189</v>
      </c>
      <c r="C30" s="129" t="s">
        <v>210</v>
      </c>
      <c r="D30" s="128" t="s">
        <v>211</v>
      </c>
      <c r="E30" s="129" t="s">
        <v>91</v>
      </c>
      <c r="F30" s="130">
        <f>MC!F45</f>
        <v>10</v>
      </c>
      <c r="G30" s="229">
        <v>127.51</v>
      </c>
      <c r="H30" s="141">
        <f t="shared" si="3"/>
        <v>157.97999999999999</v>
      </c>
      <c r="I30" s="141">
        <f t="shared" si="4"/>
        <v>1579.8</v>
      </c>
    </row>
    <row r="31" spans="1:9" s="68" customFormat="1" ht="30" x14ac:dyDescent="0.25">
      <c r="A31" s="128" t="s">
        <v>216</v>
      </c>
      <c r="B31" s="129" t="str">
        <f>B21</f>
        <v>SINAPI - 02/2023</v>
      </c>
      <c r="C31" s="129">
        <v>98511</v>
      </c>
      <c r="D31" s="128" t="s">
        <v>212</v>
      </c>
      <c r="E31" s="129" t="s">
        <v>91</v>
      </c>
      <c r="F31" s="130">
        <f>MC!F47</f>
        <v>13</v>
      </c>
      <c r="G31" s="229">
        <v>138.97</v>
      </c>
      <c r="H31" s="141">
        <f t="shared" si="3"/>
        <v>172.18</v>
      </c>
      <c r="I31" s="141">
        <f t="shared" ref="I31" si="5">ROUND(H31*F31,2)</f>
        <v>2238.34</v>
      </c>
    </row>
    <row r="32" spans="1:9" s="68" customFormat="1" x14ac:dyDescent="0.25">
      <c r="A32" s="126" t="s">
        <v>177</v>
      </c>
      <c r="B32" s="114"/>
      <c r="C32" s="114"/>
      <c r="D32" s="126" t="s">
        <v>222</v>
      </c>
      <c r="E32" s="114"/>
      <c r="F32" s="127"/>
      <c r="G32" s="228"/>
      <c r="H32" s="131"/>
      <c r="I32" s="131">
        <f>SUM(I33:I56)</f>
        <v>64411.770000000004</v>
      </c>
    </row>
    <row r="33" spans="1:9" s="68" customFormat="1" x14ac:dyDescent="0.25">
      <c r="A33" s="128" t="s">
        <v>263</v>
      </c>
      <c r="B33" s="129" t="str">
        <f>B30</f>
        <v>CDHU-189</v>
      </c>
      <c r="C33" s="129" t="s">
        <v>228</v>
      </c>
      <c r="D33" s="128" t="s">
        <v>229</v>
      </c>
      <c r="E33" s="129" t="s">
        <v>91</v>
      </c>
      <c r="F33" s="130">
        <f>MC!F50</f>
        <v>1</v>
      </c>
      <c r="G33" s="229">
        <v>1670.77</v>
      </c>
      <c r="H33" s="141">
        <f t="shared" si="3"/>
        <v>2070.08</v>
      </c>
      <c r="I33" s="141">
        <f t="shared" ref="I33" si="6">ROUND(H33*F33,2)</f>
        <v>2070.08</v>
      </c>
    </row>
    <row r="34" spans="1:9" s="68" customFormat="1" x14ac:dyDescent="0.25">
      <c r="A34" s="128" t="s">
        <v>264</v>
      </c>
      <c r="B34" s="129" t="str">
        <f>B33</f>
        <v>CDHU-189</v>
      </c>
      <c r="C34" s="129" t="s">
        <v>230</v>
      </c>
      <c r="D34" s="128" t="s">
        <v>231</v>
      </c>
      <c r="E34" s="129" t="s">
        <v>91</v>
      </c>
      <c r="F34" s="130">
        <f>MC!F52</f>
        <v>1</v>
      </c>
      <c r="G34" s="229">
        <v>303.83999999999997</v>
      </c>
      <c r="H34" s="141">
        <f t="shared" si="3"/>
        <v>376.46</v>
      </c>
      <c r="I34" s="141">
        <f t="shared" ref="I34:I56" si="7">ROUND(H34*F34,2)</f>
        <v>376.46</v>
      </c>
    </row>
    <row r="35" spans="1:9" s="68" customFormat="1" x14ac:dyDescent="0.25">
      <c r="A35" s="128" t="s">
        <v>265</v>
      </c>
      <c r="B35" s="129" t="str">
        <f t="shared" ref="B35:B50" si="8">B34</f>
        <v>CDHU-189</v>
      </c>
      <c r="C35" s="129" t="s">
        <v>232</v>
      </c>
      <c r="D35" s="128" t="s">
        <v>233</v>
      </c>
      <c r="E35" s="129" t="s">
        <v>91</v>
      </c>
      <c r="F35" s="130">
        <f>MC!F54</f>
        <v>1</v>
      </c>
      <c r="G35" s="229">
        <v>206.77</v>
      </c>
      <c r="H35" s="141">
        <f t="shared" si="3"/>
        <v>256.19</v>
      </c>
      <c r="I35" s="141">
        <f t="shared" si="7"/>
        <v>256.19</v>
      </c>
    </row>
    <row r="36" spans="1:9" s="68" customFormat="1" x14ac:dyDescent="0.25">
      <c r="A36" s="128" t="s">
        <v>266</v>
      </c>
      <c r="B36" s="129" t="str">
        <f t="shared" si="8"/>
        <v>CDHU-189</v>
      </c>
      <c r="C36" s="129" t="s">
        <v>234</v>
      </c>
      <c r="D36" s="128" t="s">
        <v>235</v>
      </c>
      <c r="E36" s="129" t="s">
        <v>91</v>
      </c>
      <c r="F36" s="130">
        <f>MC!F56</f>
        <v>2</v>
      </c>
      <c r="G36" s="229">
        <v>67.94</v>
      </c>
      <c r="H36" s="141">
        <f t="shared" si="3"/>
        <v>84.18</v>
      </c>
      <c r="I36" s="141">
        <f t="shared" si="7"/>
        <v>168.36</v>
      </c>
    </row>
    <row r="37" spans="1:9" s="68" customFormat="1" x14ac:dyDescent="0.25">
      <c r="A37" s="128" t="s">
        <v>267</v>
      </c>
      <c r="B37" s="129" t="str">
        <f t="shared" si="8"/>
        <v>CDHU-189</v>
      </c>
      <c r="C37" s="129" t="s">
        <v>236</v>
      </c>
      <c r="D37" s="128" t="s">
        <v>237</v>
      </c>
      <c r="E37" s="129" t="s">
        <v>238</v>
      </c>
      <c r="F37" s="130">
        <f>MC!F58</f>
        <v>4</v>
      </c>
      <c r="G37" s="229">
        <v>30.5</v>
      </c>
      <c r="H37" s="141">
        <f t="shared" si="3"/>
        <v>37.79</v>
      </c>
      <c r="I37" s="141">
        <f t="shared" si="7"/>
        <v>151.16</v>
      </c>
    </row>
    <row r="38" spans="1:9" s="68" customFormat="1" x14ac:dyDescent="0.25">
      <c r="A38" s="128" t="s">
        <v>268</v>
      </c>
      <c r="B38" s="129" t="str">
        <f t="shared" si="8"/>
        <v>CDHU-189</v>
      </c>
      <c r="C38" s="129" t="s">
        <v>239</v>
      </c>
      <c r="D38" s="128" t="s">
        <v>240</v>
      </c>
      <c r="E38" s="129" t="s">
        <v>238</v>
      </c>
      <c r="F38" s="130">
        <f>MC!F60</f>
        <v>4</v>
      </c>
      <c r="G38" s="229">
        <v>38.270000000000003</v>
      </c>
      <c r="H38" s="141">
        <f t="shared" si="3"/>
        <v>47.42</v>
      </c>
      <c r="I38" s="141">
        <f t="shared" si="7"/>
        <v>189.68</v>
      </c>
    </row>
    <row r="39" spans="1:9" s="68" customFormat="1" x14ac:dyDescent="0.25">
      <c r="A39" s="128" t="s">
        <v>269</v>
      </c>
      <c r="B39" s="129" t="str">
        <f t="shared" si="8"/>
        <v>CDHU-189</v>
      </c>
      <c r="C39" s="129" t="s">
        <v>241</v>
      </c>
      <c r="D39" s="128" t="s">
        <v>242</v>
      </c>
      <c r="E39" s="129" t="s">
        <v>238</v>
      </c>
      <c r="F39" s="130">
        <f>MC!F62</f>
        <v>178.48</v>
      </c>
      <c r="G39" s="229">
        <v>16.25</v>
      </c>
      <c r="H39" s="141">
        <f t="shared" si="3"/>
        <v>20.13</v>
      </c>
      <c r="I39" s="141">
        <f t="shared" si="7"/>
        <v>3592.8</v>
      </c>
    </row>
    <row r="40" spans="1:9" s="68" customFormat="1" x14ac:dyDescent="0.25">
      <c r="A40" s="128" t="s">
        <v>270</v>
      </c>
      <c r="B40" s="129" t="str">
        <f t="shared" si="8"/>
        <v>CDHU-189</v>
      </c>
      <c r="C40" s="129" t="s">
        <v>243</v>
      </c>
      <c r="D40" s="128" t="s">
        <v>244</v>
      </c>
      <c r="E40" s="129" t="s">
        <v>91</v>
      </c>
      <c r="F40" s="130">
        <f>MC!F71</f>
        <v>1</v>
      </c>
      <c r="G40" s="229">
        <v>30.94</v>
      </c>
      <c r="H40" s="141">
        <f t="shared" si="3"/>
        <v>38.33</v>
      </c>
      <c r="I40" s="141">
        <f t="shared" si="7"/>
        <v>38.33</v>
      </c>
    </row>
    <row r="41" spans="1:9" s="68" customFormat="1" x14ac:dyDescent="0.25">
      <c r="A41" s="128" t="s">
        <v>271</v>
      </c>
      <c r="B41" s="129" t="str">
        <f t="shared" si="8"/>
        <v>CDHU-189</v>
      </c>
      <c r="C41" s="129" t="s">
        <v>245</v>
      </c>
      <c r="D41" s="128" t="s">
        <v>246</v>
      </c>
      <c r="E41" s="129" t="s">
        <v>91</v>
      </c>
      <c r="F41" s="130">
        <f>MC!F73</f>
        <v>1</v>
      </c>
      <c r="G41" s="229">
        <v>168.17</v>
      </c>
      <c r="H41" s="141">
        <f t="shared" si="3"/>
        <v>208.36</v>
      </c>
      <c r="I41" s="141">
        <f t="shared" si="7"/>
        <v>208.36</v>
      </c>
    </row>
    <row r="42" spans="1:9" s="68" customFormat="1" x14ac:dyDescent="0.25">
      <c r="A42" s="128" t="s">
        <v>272</v>
      </c>
      <c r="B42" s="129" t="str">
        <f t="shared" si="8"/>
        <v>CDHU-189</v>
      </c>
      <c r="C42" s="129" t="s">
        <v>247</v>
      </c>
      <c r="D42" s="128" t="s">
        <v>248</v>
      </c>
      <c r="E42" s="129" t="s">
        <v>91</v>
      </c>
      <c r="F42" s="130">
        <f>MC!F75</f>
        <v>1</v>
      </c>
      <c r="G42" s="229">
        <v>120.56</v>
      </c>
      <c r="H42" s="141">
        <f t="shared" si="3"/>
        <v>149.37</v>
      </c>
      <c r="I42" s="141">
        <f t="shared" si="7"/>
        <v>149.37</v>
      </c>
    </row>
    <row r="43" spans="1:9" s="68" customFormat="1" x14ac:dyDescent="0.25">
      <c r="A43" s="128" t="s">
        <v>273</v>
      </c>
      <c r="B43" s="129" t="str">
        <f t="shared" si="8"/>
        <v>CDHU-189</v>
      </c>
      <c r="C43" s="129" t="s">
        <v>249</v>
      </c>
      <c r="D43" s="128" t="s">
        <v>250</v>
      </c>
      <c r="E43" s="129" t="s">
        <v>91</v>
      </c>
      <c r="F43" s="130">
        <f>MC!F77</f>
        <v>1</v>
      </c>
      <c r="G43" s="229">
        <v>47.61</v>
      </c>
      <c r="H43" s="141">
        <f t="shared" si="3"/>
        <v>58.99</v>
      </c>
      <c r="I43" s="141">
        <f t="shared" si="7"/>
        <v>58.99</v>
      </c>
    </row>
    <row r="44" spans="1:9" s="68" customFormat="1" x14ac:dyDescent="0.25">
      <c r="A44" s="128" t="s">
        <v>274</v>
      </c>
      <c r="B44" s="129" t="str">
        <f t="shared" si="8"/>
        <v>CDHU-189</v>
      </c>
      <c r="C44" s="129" t="s">
        <v>251</v>
      </c>
      <c r="D44" s="128" t="s">
        <v>252</v>
      </c>
      <c r="E44" s="129" t="s">
        <v>91</v>
      </c>
      <c r="F44" s="130">
        <f>MC!F79</f>
        <v>5</v>
      </c>
      <c r="G44" s="229">
        <v>51.75</v>
      </c>
      <c r="H44" s="141">
        <f t="shared" si="3"/>
        <v>64.12</v>
      </c>
      <c r="I44" s="141">
        <f t="shared" si="7"/>
        <v>320.60000000000002</v>
      </c>
    </row>
    <row r="45" spans="1:9" s="68" customFormat="1" ht="45" x14ac:dyDescent="0.25">
      <c r="A45" s="128" t="s">
        <v>275</v>
      </c>
      <c r="B45" s="129" t="str">
        <f>B31</f>
        <v>SINAPI - 02/2023</v>
      </c>
      <c r="C45" s="129">
        <v>97881</v>
      </c>
      <c r="D45" s="128" t="s">
        <v>253</v>
      </c>
      <c r="E45" s="129" t="s">
        <v>91</v>
      </c>
      <c r="F45" s="130">
        <f>MC!F81</f>
        <v>7</v>
      </c>
      <c r="G45" s="229">
        <v>127.78</v>
      </c>
      <c r="H45" s="141">
        <f t="shared" si="3"/>
        <v>158.32</v>
      </c>
      <c r="I45" s="141">
        <f t="shared" si="7"/>
        <v>1108.24</v>
      </c>
    </row>
    <row r="46" spans="1:9" s="68" customFormat="1" ht="45" x14ac:dyDescent="0.25">
      <c r="A46" s="128" t="s">
        <v>276</v>
      </c>
      <c r="B46" s="129" t="str">
        <f>B45</f>
        <v>SINAPI - 02/2023</v>
      </c>
      <c r="C46" s="129">
        <v>101877</v>
      </c>
      <c r="D46" s="128" t="s">
        <v>254</v>
      </c>
      <c r="E46" s="129" t="s">
        <v>91</v>
      </c>
      <c r="F46" s="130">
        <f>MC!F83</f>
        <v>1</v>
      </c>
      <c r="G46" s="229">
        <v>57.57</v>
      </c>
      <c r="H46" s="141">
        <f t="shared" si="3"/>
        <v>71.33</v>
      </c>
      <c r="I46" s="141">
        <f t="shared" si="7"/>
        <v>71.33</v>
      </c>
    </row>
    <row r="47" spans="1:9" s="68" customFormat="1" x14ac:dyDescent="0.25">
      <c r="A47" s="128" t="s">
        <v>277</v>
      </c>
      <c r="B47" s="129" t="str">
        <f>B44</f>
        <v>CDHU-189</v>
      </c>
      <c r="C47" s="129" t="s">
        <v>255</v>
      </c>
      <c r="D47" s="128" t="s">
        <v>256</v>
      </c>
      <c r="E47" s="129" t="s">
        <v>91</v>
      </c>
      <c r="F47" s="130">
        <f>MC!F85</f>
        <v>2</v>
      </c>
      <c r="G47" s="229">
        <v>137.38999999999999</v>
      </c>
      <c r="H47" s="141">
        <f t="shared" si="3"/>
        <v>170.23</v>
      </c>
      <c r="I47" s="141">
        <f t="shared" si="7"/>
        <v>340.46</v>
      </c>
    </row>
    <row r="48" spans="1:9" s="68" customFormat="1" x14ac:dyDescent="0.25">
      <c r="A48" s="128" t="s">
        <v>278</v>
      </c>
      <c r="B48" s="129" t="str">
        <f>B47</f>
        <v>CDHU-189</v>
      </c>
      <c r="C48" s="129" t="s">
        <v>460</v>
      </c>
      <c r="D48" s="128" t="s">
        <v>461</v>
      </c>
      <c r="E48" s="129" t="s">
        <v>51</v>
      </c>
      <c r="F48" s="130">
        <f>MC!F87</f>
        <v>11.54</v>
      </c>
      <c r="G48" s="229">
        <v>11.44</v>
      </c>
      <c r="H48" s="141">
        <f t="shared" si="3"/>
        <v>14.17</v>
      </c>
      <c r="I48" s="141">
        <f t="shared" si="7"/>
        <v>163.52000000000001</v>
      </c>
    </row>
    <row r="49" spans="1:9" s="68" customFormat="1" x14ac:dyDescent="0.25">
      <c r="A49" s="128" t="s">
        <v>279</v>
      </c>
      <c r="B49" s="129" t="str">
        <f>B47</f>
        <v>CDHU-189</v>
      </c>
      <c r="C49" s="129" t="s">
        <v>257</v>
      </c>
      <c r="D49" s="128" t="s">
        <v>258</v>
      </c>
      <c r="E49" s="129" t="s">
        <v>238</v>
      </c>
      <c r="F49" s="130">
        <f>MC!F91</f>
        <v>33.979999999999997</v>
      </c>
      <c r="G49" s="229">
        <v>8.73</v>
      </c>
      <c r="H49" s="141">
        <f t="shared" si="3"/>
        <v>10.82</v>
      </c>
      <c r="I49" s="141">
        <f t="shared" si="7"/>
        <v>367.66</v>
      </c>
    </row>
    <row r="50" spans="1:9" s="68" customFormat="1" x14ac:dyDescent="0.25">
      <c r="A50" s="128" t="s">
        <v>280</v>
      </c>
      <c r="B50" s="129" t="str">
        <f t="shared" si="8"/>
        <v>CDHU-189</v>
      </c>
      <c r="C50" s="129" t="s">
        <v>259</v>
      </c>
      <c r="D50" s="128" t="s">
        <v>260</v>
      </c>
      <c r="E50" s="129" t="s">
        <v>238</v>
      </c>
      <c r="F50" s="130">
        <f>MC!F93</f>
        <v>94.27</v>
      </c>
      <c r="G50" s="229">
        <v>10.97</v>
      </c>
      <c r="H50" s="141">
        <f t="shared" si="3"/>
        <v>13.59</v>
      </c>
      <c r="I50" s="141">
        <f t="shared" si="7"/>
        <v>1281.1300000000001</v>
      </c>
    </row>
    <row r="51" spans="1:9" s="68" customFormat="1" x14ac:dyDescent="0.25">
      <c r="A51" s="128" t="s">
        <v>281</v>
      </c>
      <c r="B51" s="129" t="str">
        <f>B50</f>
        <v>CDHU-189</v>
      </c>
      <c r="C51" s="129" t="s">
        <v>430</v>
      </c>
      <c r="D51" s="128" t="s">
        <v>431</v>
      </c>
      <c r="E51" s="129" t="s">
        <v>51</v>
      </c>
      <c r="F51" s="130">
        <f>MC!F95</f>
        <v>11.54</v>
      </c>
      <c r="G51" s="229">
        <v>18.16</v>
      </c>
      <c r="H51" s="141">
        <f t="shared" si="3"/>
        <v>22.5</v>
      </c>
      <c r="I51" s="141">
        <f t="shared" si="7"/>
        <v>259.64999999999998</v>
      </c>
    </row>
    <row r="52" spans="1:9" s="68" customFormat="1" x14ac:dyDescent="0.25">
      <c r="A52" s="128" t="s">
        <v>288</v>
      </c>
      <c r="B52" s="129" t="str">
        <f>B50</f>
        <v>CDHU-189</v>
      </c>
      <c r="C52" s="129" t="s">
        <v>261</v>
      </c>
      <c r="D52" s="128" t="s">
        <v>262</v>
      </c>
      <c r="E52" s="129" t="s">
        <v>238</v>
      </c>
      <c r="F52" s="130">
        <f>MC!F97</f>
        <v>432.81000000000006</v>
      </c>
      <c r="G52" s="229">
        <v>9.07</v>
      </c>
      <c r="H52" s="141">
        <f t="shared" si="3"/>
        <v>11.24</v>
      </c>
      <c r="I52" s="141">
        <f t="shared" si="7"/>
        <v>4864.78</v>
      </c>
    </row>
    <row r="53" spans="1:9" s="68" customFormat="1" ht="45" x14ac:dyDescent="0.25">
      <c r="A53" s="128" t="s">
        <v>289</v>
      </c>
      <c r="B53" s="129" t="str">
        <f>B25</f>
        <v>COMPOSIÇÃO</v>
      </c>
      <c r="C53" s="129" t="str">
        <f>COMP!B14</f>
        <v>PMBT.23.003</v>
      </c>
      <c r="D53" s="128" t="str">
        <f>COMP!D14</f>
        <v>CAIXA ENTERRADA RETANGULAR, EM CONCRETO PRÉ-MOLDADO, FUNDO COM BRITA,TAMPA EM CHAPA DE FERRO COM PORTA CADEADO, COM CADEADO, DIMENSÕES INTERNAS: 1X1X0,5 M</v>
      </c>
      <c r="E53" s="129" t="s">
        <v>91</v>
      </c>
      <c r="F53" s="130">
        <f>MC!F100</f>
        <v>1</v>
      </c>
      <c r="G53" s="229">
        <f>COMP!I14</f>
        <v>2339.08</v>
      </c>
      <c r="H53" s="141">
        <f t="shared" si="3"/>
        <v>2898.12</v>
      </c>
      <c r="I53" s="141">
        <f t="shared" si="7"/>
        <v>2898.12</v>
      </c>
    </row>
    <row r="54" spans="1:9" s="68" customFormat="1" x14ac:dyDescent="0.25">
      <c r="A54" s="128" t="s">
        <v>290</v>
      </c>
      <c r="B54" s="129" t="str">
        <f>B52</f>
        <v>CDHU-189</v>
      </c>
      <c r="C54" s="129" t="s">
        <v>282</v>
      </c>
      <c r="D54" s="128" t="s">
        <v>283</v>
      </c>
      <c r="E54" s="129" t="s">
        <v>91</v>
      </c>
      <c r="F54" s="130">
        <f>MC!F102</f>
        <v>5</v>
      </c>
      <c r="G54" s="229">
        <v>2749.63</v>
      </c>
      <c r="H54" s="141">
        <f t="shared" si="3"/>
        <v>3406.79</v>
      </c>
      <c r="I54" s="141">
        <f t="shared" si="7"/>
        <v>17033.95</v>
      </c>
    </row>
    <row r="55" spans="1:9" s="68" customFormat="1" x14ac:dyDescent="0.25">
      <c r="A55" s="128" t="s">
        <v>584</v>
      </c>
      <c r="B55" s="129" t="str">
        <f>B54</f>
        <v>CDHU-189</v>
      </c>
      <c r="C55" s="129" t="s">
        <v>284</v>
      </c>
      <c r="D55" s="128" t="s">
        <v>285</v>
      </c>
      <c r="E55" s="129" t="s">
        <v>91</v>
      </c>
      <c r="F55" s="130">
        <f>MC!F104</f>
        <v>5</v>
      </c>
      <c r="G55" s="229">
        <v>905.53</v>
      </c>
      <c r="H55" s="141">
        <f t="shared" si="3"/>
        <v>1121.95</v>
      </c>
      <c r="I55" s="141">
        <f t="shared" si="7"/>
        <v>5609.75</v>
      </c>
    </row>
    <row r="56" spans="1:9" s="68" customFormat="1" ht="30" x14ac:dyDescent="0.25">
      <c r="A56" s="128" t="s">
        <v>588</v>
      </c>
      <c r="B56" s="129" t="str">
        <f>B55</f>
        <v>CDHU-189</v>
      </c>
      <c r="C56" s="129" t="s">
        <v>286</v>
      </c>
      <c r="D56" s="128" t="s">
        <v>287</v>
      </c>
      <c r="E56" s="129" t="s">
        <v>91</v>
      </c>
      <c r="F56" s="130">
        <f>MC!F106</f>
        <v>20</v>
      </c>
      <c r="G56" s="229">
        <v>921.42</v>
      </c>
      <c r="H56" s="141">
        <f t="shared" si="3"/>
        <v>1141.6400000000001</v>
      </c>
      <c r="I56" s="141">
        <f t="shared" si="7"/>
        <v>22832.799999999999</v>
      </c>
    </row>
    <row r="57" spans="1:9" s="68" customFormat="1" x14ac:dyDescent="0.25">
      <c r="A57" s="126" t="s">
        <v>339</v>
      </c>
      <c r="B57" s="114"/>
      <c r="C57" s="114"/>
      <c r="D57" s="126" t="s">
        <v>340</v>
      </c>
      <c r="E57" s="114"/>
      <c r="F57" s="127"/>
      <c r="G57" s="228"/>
      <c r="H57" s="131"/>
      <c r="I57" s="131">
        <f>SUM(I58:I62)</f>
        <v>14257.249999999998</v>
      </c>
    </row>
    <row r="58" spans="1:9" s="68" customFormat="1" x14ac:dyDescent="0.25">
      <c r="A58" s="128" t="s">
        <v>341</v>
      </c>
      <c r="B58" s="129" t="str">
        <f>B56</f>
        <v>CDHU-189</v>
      </c>
      <c r="C58" s="129" t="s">
        <v>337</v>
      </c>
      <c r="D58" s="128" t="s">
        <v>338</v>
      </c>
      <c r="E58" s="129" t="s">
        <v>91</v>
      </c>
      <c r="F58" s="130">
        <f>MC!F110</f>
        <v>6</v>
      </c>
      <c r="G58" s="229">
        <v>929.57</v>
      </c>
      <c r="H58" s="141">
        <f t="shared" ref="H58" si="9">ROUND(G58*(1+$B$11),2)</f>
        <v>1151.74</v>
      </c>
      <c r="I58" s="141">
        <f t="shared" ref="I58" si="10">ROUND(H58*F58,2)</f>
        <v>6910.44</v>
      </c>
    </row>
    <row r="59" spans="1:9" s="68" customFormat="1" x14ac:dyDescent="0.25">
      <c r="A59" s="128" t="s">
        <v>345</v>
      </c>
      <c r="B59" s="129" t="str">
        <f>B58</f>
        <v>CDHU-189</v>
      </c>
      <c r="C59" s="129" t="s">
        <v>343</v>
      </c>
      <c r="D59" s="128" t="s">
        <v>344</v>
      </c>
      <c r="E59" s="129" t="s">
        <v>238</v>
      </c>
      <c r="F59" s="130">
        <f>MC!F112</f>
        <v>16.8</v>
      </c>
      <c r="G59" s="229">
        <v>80.540000000000006</v>
      </c>
      <c r="H59" s="141">
        <f t="shared" ref="H59:H60" si="11">ROUND(G59*(1+$B$11),2)</f>
        <v>99.79</v>
      </c>
      <c r="I59" s="141">
        <f t="shared" ref="I59:I60" si="12">ROUND(H59*F59,2)</f>
        <v>1676.47</v>
      </c>
    </row>
    <row r="60" spans="1:9" s="68" customFormat="1" x14ac:dyDescent="0.25">
      <c r="A60" s="128" t="s">
        <v>352</v>
      </c>
      <c r="B60" s="129" t="str">
        <f t="shared" ref="B60:B62" si="13">B59</f>
        <v>CDHU-189</v>
      </c>
      <c r="C60" s="129" t="s">
        <v>346</v>
      </c>
      <c r="D60" s="128" t="s">
        <v>347</v>
      </c>
      <c r="E60" s="129" t="s">
        <v>91</v>
      </c>
      <c r="F60" s="130">
        <f>MC!F115</f>
        <v>2</v>
      </c>
      <c r="G60" s="229">
        <v>1259.06</v>
      </c>
      <c r="H60" s="141">
        <f t="shared" si="11"/>
        <v>1559.98</v>
      </c>
      <c r="I60" s="141">
        <f t="shared" si="12"/>
        <v>3119.96</v>
      </c>
    </row>
    <row r="61" spans="1:9" s="68" customFormat="1" ht="30" x14ac:dyDescent="0.25">
      <c r="A61" s="128" t="s">
        <v>353</v>
      </c>
      <c r="B61" s="129" t="str">
        <f t="shared" si="13"/>
        <v>CDHU-189</v>
      </c>
      <c r="C61" s="129" t="s">
        <v>348</v>
      </c>
      <c r="D61" s="128" t="s">
        <v>349</v>
      </c>
      <c r="E61" s="129" t="s">
        <v>49</v>
      </c>
      <c r="F61" s="130">
        <f>MC!F117</f>
        <v>0.76</v>
      </c>
      <c r="G61" s="229">
        <v>1736.56</v>
      </c>
      <c r="H61" s="141">
        <f t="shared" ref="H61:H62" si="14">ROUND(G61*(1+$B$11),2)</f>
        <v>2151.6</v>
      </c>
      <c r="I61" s="141">
        <f t="shared" ref="I61:I62" si="15">ROUND(H61*F61,2)</f>
        <v>1635.22</v>
      </c>
    </row>
    <row r="62" spans="1:9" s="68" customFormat="1" x14ac:dyDescent="0.25">
      <c r="A62" s="128" t="s">
        <v>354</v>
      </c>
      <c r="B62" s="129" t="str">
        <f t="shared" si="13"/>
        <v>CDHU-189</v>
      </c>
      <c r="C62" s="129" t="s">
        <v>350</v>
      </c>
      <c r="D62" s="128" t="s">
        <v>351</v>
      </c>
      <c r="E62" s="129" t="s">
        <v>49</v>
      </c>
      <c r="F62" s="130">
        <f>MC!F120</f>
        <v>18.14</v>
      </c>
      <c r="G62" s="229">
        <v>40.72</v>
      </c>
      <c r="H62" s="141">
        <f t="shared" si="14"/>
        <v>50.45</v>
      </c>
      <c r="I62" s="141">
        <f t="shared" si="15"/>
        <v>915.16</v>
      </c>
    </row>
    <row r="63" spans="1:9" s="68" customFormat="1" x14ac:dyDescent="0.25">
      <c r="A63" s="126" t="s">
        <v>367</v>
      </c>
      <c r="B63" s="183"/>
      <c r="C63" s="183"/>
      <c r="D63" s="126" t="s">
        <v>368</v>
      </c>
      <c r="E63" s="183"/>
      <c r="F63" s="127"/>
      <c r="G63" s="228"/>
      <c r="H63" s="131"/>
      <c r="I63" s="131">
        <f>SUM(I64:I77)</f>
        <v>36259.120000000003</v>
      </c>
    </row>
    <row r="64" spans="1:9" s="68" customFormat="1" ht="45" x14ac:dyDescent="0.25">
      <c r="A64" s="128" t="s">
        <v>383</v>
      </c>
      <c r="B64" s="129" t="str">
        <f>B46</f>
        <v>SINAPI - 02/2023</v>
      </c>
      <c r="C64" s="129">
        <v>96520</v>
      </c>
      <c r="D64" s="128" t="s">
        <v>375</v>
      </c>
      <c r="E64" s="129" t="s">
        <v>51</v>
      </c>
      <c r="F64" s="130">
        <f>MC!F134</f>
        <v>1.84</v>
      </c>
      <c r="G64" s="229">
        <v>113.13</v>
      </c>
      <c r="H64" s="141">
        <f t="shared" ref="H64" si="16">ROUND(G64*(1+$B$11),2)</f>
        <v>140.16999999999999</v>
      </c>
      <c r="I64" s="141">
        <f t="shared" ref="I64" si="17">ROUND(H64*F64,2)</f>
        <v>257.91000000000003</v>
      </c>
    </row>
    <row r="65" spans="1:9" s="68" customFormat="1" ht="30" x14ac:dyDescent="0.25">
      <c r="A65" s="128" t="s">
        <v>384</v>
      </c>
      <c r="B65" s="129" t="str">
        <f>B64</f>
        <v>SINAPI - 02/2023</v>
      </c>
      <c r="C65" s="129">
        <v>96616</v>
      </c>
      <c r="D65" s="128" t="s">
        <v>376</v>
      </c>
      <c r="E65" s="129" t="s">
        <v>51</v>
      </c>
      <c r="F65" s="130">
        <f>MC!F139</f>
        <v>0.11</v>
      </c>
      <c r="G65" s="229">
        <v>598.63</v>
      </c>
      <c r="H65" s="141">
        <f t="shared" ref="H65:H77" si="18">ROUND(G65*(1+$B$11),2)</f>
        <v>741.7</v>
      </c>
      <c r="I65" s="141">
        <f t="shared" ref="I65:I77" si="19">ROUND(H65*F65,2)</f>
        <v>81.59</v>
      </c>
    </row>
    <row r="66" spans="1:9" s="68" customFormat="1" x14ac:dyDescent="0.25">
      <c r="A66" s="128" t="s">
        <v>385</v>
      </c>
      <c r="B66" s="129" t="str">
        <f>B62</f>
        <v>CDHU-189</v>
      </c>
      <c r="C66" s="129" t="s">
        <v>378</v>
      </c>
      <c r="D66" s="128" t="s">
        <v>379</v>
      </c>
      <c r="E66" s="129" t="s">
        <v>380</v>
      </c>
      <c r="F66" s="130">
        <f>MC!F144</f>
        <v>126.46000000000001</v>
      </c>
      <c r="G66" s="229">
        <v>11.28</v>
      </c>
      <c r="H66" s="141">
        <f t="shared" ref="H66:H67" si="20">ROUND(G66*(1+$B$11),2)</f>
        <v>13.98</v>
      </c>
      <c r="I66" s="141">
        <f t="shared" ref="I66:I67" si="21">ROUND(H66*F66,2)</f>
        <v>1767.91</v>
      </c>
    </row>
    <row r="67" spans="1:9" s="68" customFormat="1" x14ac:dyDescent="0.25">
      <c r="A67" s="128" t="s">
        <v>386</v>
      </c>
      <c r="B67" s="129" t="str">
        <f>B66</f>
        <v>CDHU-189</v>
      </c>
      <c r="C67" s="129" t="s">
        <v>381</v>
      </c>
      <c r="D67" s="128" t="s">
        <v>382</v>
      </c>
      <c r="E67" s="129" t="s">
        <v>380</v>
      </c>
      <c r="F67" s="130">
        <f>MC!F148</f>
        <v>21.44</v>
      </c>
      <c r="G67" s="229">
        <v>12.51</v>
      </c>
      <c r="H67" s="141">
        <f t="shared" si="20"/>
        <v>15.5</v>
      </c>
      <c r="I67" s="141">
        <f t="shared" si="21"/>
        <v>332.32</v>
      </c>
    </row>
    <row r="68" spans="1:9" s="68" customFormat="1" ht="45" x14ac:dyDescent="0.25">
      <c r="A68" s="128" t="s">
        <v>387</v>
      </c>
      <c r="B68" s="129" t="str">
        <f>B65</f>
        <v>SINAPI - 02/2023</v>
      </c>
      <c r="C68" s="129">
        <v>96555</v>
      </c>
      <c r="D68" s="128" t="s">
        <v>377</v>
      </c>
      <c r="E68" s="129" t="s">
        <v>51</v>
      </c>
      <c r="F68" s="130">
        <f>MC!F152</f>
        <v>1.08</v>
      </c>
      <c r="G68" s="229">
        <v>624.80999999999995</v>
      </c>
      <c r="H68" s="141">
        <f t="shared" si="18"/>
        <v>774.14</v>
      </c>
      <c r="I68" s="141">
        <f t="shared" si="19"/>
        <v>836.07</v>
      </c>
    </row>
    <row r="69" spans="1:9" s="68" customFormat="1" x14ac:dyDescent="0.25">
      <c r="A69" s="128" t="s">
        <v>390</v>
      </c>
      <c r="B69" s="129" t="str">
        <f>B67</f>
        <v>CDHU-189</v>
      </c>
      <c r="C69" s="129" t="s">
        <v>388</v>
      </c>
      <c r="D69" s="128" t="s">
        <v>389</v>
      </c>
      <c r="E69" s="129" t="s">
        <v>49</v>
      </c>
      <c r="F69" s="130">
        <f>MC!F157</f>
        <v>23.76</v>
      </c>
      <c r="G69" s="229">
        <v>200.71</v>
      </c>
      <c r="H69" s="141">
        <f t="shared" si="18"/>
        <v>248.68</v>
      </c>
      <c r="I69" s="141">
        <f t="shared" si="19"/>
        <v>5908.64</v>
      </c>
    </row>
    <row r="70" spans="1:9" s="68" customFormat="1" x14ac:dyDescent="0.25">
      <c r="A70" s="128" t="s">
        <v>391</v>
      </c>
      <c r="B70" s="129" t="str">
        <f>B69</f>
        <v>CDHU-189</v>
      </c>
      <c r="C70" s="129" t="s">
        <v>394</v>
      </c>
      <c r="D70" s="128" t="s">
        <v>395</v>
      </c>
      <c r="E70" s="129" t="s">
        <v>51</v>
      </c>
      <c r="F70" s="130">
        <f>MC!F161</f>
        <v>1.78</v>
      </c>
      <c r="G70" s="229">
        <v>492.89</v>
      </c>
      <c r="H70" s="141">
        <f t="shared" si="18"/>
        <v>610.69000000000005</v>
      </c>
      <c r="I70" s="141">
        <f t="shared" si="19"/>
        <v>1087.03</v>
      </c>
    </row>
    <row r="71" spans="1:9" s="68" customFormat="1" x14ac:dyDescent="0.25">
      <c r="A71" s="128" t="s">
        <v>392</v>
      </c>
      <c r="B71" s="129" t="str">
        <f>B70</f>
        <v>CDHU-189</v>
      </c>
      <c r="C71" s="129" t="s">
        <v>424</v>
      </c>
      <c r="D71" s="128" t="s">
        <v>425</v>
      </c>
      <c r="E71" s="129" t="s">
        <v>51</v>
      </c>
      <c r="F71" s="130">
        <f>MC!F166</f>
        <v>1.78</v>
      </c>
      <c r="G71" s="229">
        <v>113.42</v>
      </c>
      <c r="H71" s="141">
        <f t="shared" ref="H71" si="22">ROUND(G71*(1+$B$11),2)</f>
        <v>140.53</v>
      </c>
      <c r="I71" s="141">
        <f t="shared" ref="I71" si="23">ROUND(H71*F71,2)</f>
        <v>250.14</v>
      </c>
    </row>
    <row r="72" spans="1:9" s="68" customFormat="1" x14ac:dyDescent="0.25">
      <c r="A72" s="128" t="s">
        <v>393</v>
      </c>
      <c r="B72" s="129" t="str">
        <f>B71</f>
        <v>CDHU-189</v>
      </c>
      <c r="C72" s="129" t="s">
        <v>430</v>
      </c>
      <c r="D72" s="128" t="s">
        <v>431</v>
      </c>
      <c r="E72" s="129" t="s">
        <v>51</v>
      </c>
      <c r="F72" s="130">
        <f>MC!F168</f>
        <v>0.76</v>
      </c>
      <c r="G72" s="229">
        <v>18.16</v>
      </c>
      <c r="H72" s="141">
        <f t="shared" ref="H72" si="24">ROUND(G72*(1+$B$11),2)</f>
        <v>22.5</v>
      </c>
      <c r="I72" s="141">
        <f t="shared" ref="I72" si="25">ROUND(H72*F72,2)</f>
        <v>17.100000000000001</v>
      </c>
    </row>
    <row r="73" spans="1:9" s="68" customFormat="1" x14ac:dyDescent="0.25">
      <c r="A73" s="128" t="s">
        <v>404</v>
      </c>
      <c r="B73" s="129" t="str">
        <f>B70</f>
        <v>CDHU-189</v>
      </c>
      <c r="C73" s="129" t="s">
        <v>397</v>
      </c>
      <c r="D73" s="128" t="s">
        <v>398</v>
      </c>
      <c r="E73" s="129" t="s">
        <v>49</v>
      </c>
      <c r="F73" s="130">
        <f>MC!F172</f>
        <v>21.6</v>
      </c>
      <c r="G73" s="229">
        <v>38.700000000000003</v>
      </c>
      <c r="H73" s="141">
        <f t="shared" si="18"/>
        <v>47.95</v>
      </c>
      <c r="I73" s="141">
        <f t="shared" si="19"/>
        <v>1035.72</v>
      </c>
    </row>
    <row r="74" spans="1:9" s="68" customFormat="1" x14ac:dyDescent="0.25">
      <c r="A74" s="128" t="s">
        <v>405</v>
      </c>
      <c r="B74" s="129" t="str">
        <f>B73</f>
        <v>CDHU-189</v>
      </c>
      <c r="C74" s="129" t="s">
        <v>450</v>
      </c>
      <c r="D74" s="128" t="s">
        <v>451</v>
      </c>
      <c r="E74" s="129" t="s">
        <v>51</v>
      </c>
      <c r="F74" s="130">
        <f>MC!F176</f>
        <v>0.01</v>
      </c>
      <c r="G74" s="229">
        <v>758.96</v>
      </c>
      <c r="H74" s="141">
        <f t="shared" ref="H74" si="26">ROUND(G74*(1+$B$11),2)</f>
        <v>940.35</v>
      </c>
      <c r="I74" s="141">
        <f t="shared" ref="I74" si="27">ROUND(H74*F74,2)</f>
        <v>9.4</v>
      </c>
    </row>
    <row r="75" spans="1:9" s="68" customFormat="1" ht="30" x14ac:dyDescent="0.25">
      <c r="A75" s="128" t="s">
        <v>423</v>
      </c>
      <c r="B75" s="129" t="str">
        <f>B68</f>
        <v>SINAPI - 02/2023</v>
      </c>
      <c r="C75" s="129">
        <v>1333</v>
      </c>
      <c r="D75" s="128" t="s">
        <v>399</v>
      </c>
      <c r="E75" s="129" t="s">
        <v>380</v>
      </c>
      <c r="F75" s="130">
        <f>MC!F181</f>
        <v>53.78</v>
      </c>
      <c r="G75" s="229">
        <v>8.9600000000000009</v>
      </c>
      <c r="H75" s="141">
        <f t="shared" si="18"/>
        <v>11.1</v>
      </c>
      <c r="I75" s="141">
        <f t="shared" si="19"/>
        <v>596.96</v>
      </c>
    </row>
    <row r="76" spans="1:9" s="68" customFormat="1" x14ac:dyDescent="0.25">
      <c r="A76" s="128" t="s">
        <v>432</v>
      </c>
      <c r="B76" s="129" t="str">
        <f>B73</f>
        <v>CDHU-189</v>
      </c>
      <c r="C76" s="129" t="s">
        <v>402</v>
      </c>
      <c r="D76" s="128" t="s">
        <v>403</v>
      </c>
      <c r="E76" s="129" t="s">
        <v>380</v>
      </c>
      <c r="F76" s="130">
        <f>MC!F186</f>
        <v>653.06000000000006</v>
      </c>
      <c r="G76" s="229">
        <v>25.9</v>
      </c>
      <c r="H76" s="141">
        <f t="shared" si="18"/>
        <v>32.090000000000003</v>
      </c>
      <c r="I76" s="141">
        <f t="shared" si="19"/>
        <v>20956.7</v>
      </c>
    </row>
    <row r="77" spans="1:9" s="68" customFormat="1" x14ac:dyDescent="0.25">
      <c r="A77" s="128" t="s">
        <v>449</v>
      </c>
      <c r="B77" s="129" t="str">
        <f>B76</f>
        <v>CDHU-189</v>
      </c>
      <c r="C77" s="129" t="s">
        <v>400</v>
      </c>
      <c r="D77" s="128" t="s">
        <v>401</v>
      </c>
      <c r="E77" s="129" t="s">
        <v>380</v>
      </c>
      <c r="F77" s="130">
        <f>MC!F193</f>
        <v>653.06000000000006</v>
      </c>
      <c r="G77" s="229">
        <v>3.86</v>
      </c>
      <c r="H77" s="141">
        <f t="shared" si="18"/>
        <v>4.78</v>
      </c>
      <c r="I77" s="141">
        <f t="shared" si="19"/>
        <v>3121.63</v>
      </c>
    </row>
    <row r="78" spans="1:9" s="68" customFormat="1" x14ac:dyDescent="0.25">
      <c r="A78" s="126" t="s">
        <v>458</v>
      </c>
      <c r="B78" s="192"/>
      <c r="C78" s="208"/>
      <c r="D78" s="126" t="s">
        <v>459</v>
      </c>
      <c r="E78" s="208"/>
      <c r="F78" s="127"/>
      <c r="G78" s="228"/>
      <c r="H78" s="131"/>
      <c r="I78" s="131">
        <f>SUM(I79:I104)</f>
        <v>53206.270000000004</v>
      </c>
    </row>
    <row r="79" spans="1:9" s="68" customFormat="1" x14ac:dyDescent="0.25">
      <c r="A79" s="128" t="s">
        <v>470</v>
      </c>
      <c r="B79" s="129" t="str">
        <f>B77</f>
        <v>CDHU-189</v>
      </c>
      <c r="C79" s="129" t="s">
        <v>460</v>
      </c>
      <c r="D79" s="128" t="s">
        <v>461</v>
      </c>
      <c r="E79" s="129" t="s">
        <v>51</v>
      </c>
      <c r="F79" s="130">
        <f>MC!F196</f>
        <v>29.060000000000002</v>
      </c>
      <c r="G79" s="229">
        <v>11.44</v>
      </c>
      <c r="H79" s="141">
        <f t="shared" ref="H79:H80" si="28">ROUND(G79*(1+$B$11),2)</f>
        <v>14.17</v>
      </c>
      <c r="I79" s="141">
        <f t="shared" ref="I79:I80" si="29">ROUND(H79*F79,2)</f>
        <v>411.78</v>
      </c>
    </row>
    <row r="80" spans="1:9" s="68" customFormat="1" ht="30" x14ac:dyDescent="0.25">
      <c r="A80" s="128" t="s">
        <v>471</v>
      </c>
      <c r="B80" s="129" t="str">
        <f>B75</f>
        <v>SINAPI - 02/2023</v>
      </c>
      <c r="C80" s="129">
        <v>96616</v>
      </c>
      <c r="D80" s="128" t="s">
        <v>376</v>
      </c>
      <c r="E80" s="129" t="s">
        <v>51</v>
      </c>
      <c r="F80" s="130">
        <f>MC!F204</f>
        <v>0.95</v>
      </c>
      <c r="G80" s="229">
        <v>598.63</v>
      </c>
      <c r="H80" s="141">
        <f t="shared" si="28"/>
        <v>741.7</v>
      </c>
      <c r="I80" s="141">
        <f t="shared" si="29"/>
        <v>704.62</v>
      </c>
    </row>
    <row r="81" spans="1:9" s="68" customFormat="1" x14ac:dyDescent="0.25">
      <c r="A81" s="128" t="s">
        <v>472</v>
      </c>
      <c r="B81" s="129" t="str">
        <f>B79</f>
        <v>CDHU-189</v>
      </c>
      <c r="C81" s="129" t="s">
        <v>462</v>
      </c>
      <c r="D81" s="128" t="s">
        <v>463</v>
      </c>
      <c r="E81" s="129" t="s">
        <v>49</v>
      </c>
      <c r="F81" s="130">
        <f>MC!F208</f>
        <v>26.69</v>
      </c>
      <c r="G81" s="229">
        <v>94.87</v>
      </c>
      <c r="H81" s="141">
        <f t="shared" ref="H81:H85" si="30">ROUND(G81*(1+$B$11),2)</f>
        <v>117.54</v>
      </c>
      <c r="I81" s="141">
        <f t="shared" ref="I81:I85" si="31">ROUND(H81*F81,2)</f>
        <v>3137.14</v>
      </c>
    </row>
    <row r="82" spans="1:9" s="68" customFormat="1" x14ac:dyDescent="0.25">
      <c r="A82" s="128" t="s">
        <v>473</v>
      </c>
      <c r="B82" s="129" t="str">
        <f>B81</f>
        <v>CDHU-189</v>
      </c>
      <c r="C82" s="129" t="s">
        <v>464</v>
      </c>
      <c r="D82" s="128" t="s">
        <v>465</v>
      </c>
      <c r="E82" s="129" t="s">
        <v>49</v>
      </c>
      <c r="F82" s="130">
        <f>MC!F215</f>
        <v>13.35</v>
      </c>
      <c r="G82" s="229">
        <v>116.56</v>
      </c>
      <c r="H82" s="141">
        <f t="shared" si="30"/>
        <v>144.41999999999999</v>
      </c>
      <c r="I82" s="141">
        <f t="shared" si="31"/>
        <v>1928.01</v>
      </c>
    </row>
    <row r="83" spans="1:9" s="68" customFormat="1" x14ac:dyDescent="0.25">
      <c r="A83" s="128" t="s">
        <v>474</v>
      </c>
      <c r="B83" s="129" t="str">
        <f>B82</f>
        <v>CDHU-189</v>
      </c>
      <c r="C83" s="129" t="s">
        <v>466</v>
      </c>
      <c r="D83" s="128" t="s">
        <v>467</v>
      </c>
      <c r="E83" s="129" t="s">
        <v>49</v>
      </c>
      <c r="F83" s="130">
        <f>MC!F219</f>
        <v>44.22</v>
      </c>
      <c r="G83" s="229">
        <v>82.72</v>
      </c>
      <c r="H83" s="141">
        <f t="shared" si="30"/>
        <v>102.49</v>
      </c>
      <c r="I83" s="141">
        <f t="shared" si="31"/>
        <v>4532.1099999999997</v>
      </c>
    </row>
    <row r="84" spans="1:9" s="68" customFormat="1" x14ac:dyDescent="0.25">
      <c r="A84" s="128" t="s">
        <v>475</v>
      </c>
      <c r="B84" s="129" t="str">
        <f>B83</f>
        <v>CDHU-189</v>
      </c>
      <c r="C84" s="129" t="s">
        <v>468</v>
      </c>
      <c r="D84" s="128" t="s">
        <v>469</v>
      </c>
      <c r="E84" s="129" t="s">
        <v>49</v>
      </c>
      <c r="F84" s="130">
        <f>MC!F226</f>
        <v>12.71</v>
      </c>
      <c r="G84" s="229">
        <v>98.29</v>
      </c>
      <c r="H84" s="141">
        <f t="shared" si="30"/>
        <v>121.78</v>
      </c>
      <c r="I84" s="141">
        <f t="shared" si="31"/>
        <v>1547.82</v>
      </c>
    </row>
    <row r="85" spans="1:9" s="68" customFormat="1" ht="30" x14ac:dyDescent="0.25">
      <c r="A85" s="128" t="s">
        <v>479</v>
      </c>
      <c r="B85" s="129" t="str">
        <f>B80</f>
        <v>SINAPI - 02/2023</v>
      </c>
      <c r="C85" s="129">
        <v>89998</v>
      </c>
      <c r="D85" s="128" t="s">
        <v>478</v>
      </c>
      <c r="E85" s="129" t="s">
        <v>380</v>
      </c>
      <c r="F85" s="130">
        <f>MC!F230</f>
        <v>117.63</v>
      </c>
      <c r="G85" s="229">
        <v>10.61</v>
      </c>
      <c r="H85" s="141">
        <f t="shared" si="30"/>
        <v>13.15</v>
      </c>
      <c r="I85" s="141">
        <f t="shared" si="31"/>
        <v>1546.83</v>
      </c>
    </row>
    <row r="86" spans="1:9" s="68" customFormat="1" x14ac:dyDescent="0.25">
      <c r="A86" s="128" t="s">
        <v>480</v>
      </c>
      <c r="B86" s="129" t="str">
        <f>B84</f>
        <v>CDHU-189</v>
      </c>
      <c r="C86" s="129" t="s">
        <v>476</v>
      </c>
      <c r="D86" s="128" t="s">
        <v>477</v>
      </c>
      <c r="E86" s="129" t="s">
        <v>51</v>
      </c>
      <c r="F86" s="130">
        <f>MC!F243</f>
        <v>8.01</v>
      </c>
      <c r="G86" s="229">
        <v>403.73</v>
      </c>
      <c r="H86" s="141">
        <f t="shared" ref="H86:H91" si="32">ROUND(G86*(1+$B$11),2)</f>
        <v>500.22</v>
      </c>
      <c r="I86" s="141">
        <f t="shared" ref="I86:I91" si="33">ROUND(H86*F86,2)</f>
        <v>4006.76</v>
      </c>
    </row>
    <row r="87" spans="1:9" s="68" customFormat="1" x14ac:dyDescent="0.25">
      <c r="A87" s="128" t="s">
        <v>481</v>
      </c>
      <c r="B87" s="129" t="str">
        <f t="shared" ref="B87:B93" si="34">B86</f>
        <v>CDHU-189</v>
      </c>
      <c r="C87" s="129" t="s">
        <v>484</v>
      </c>
      <c r="D87" s="128" t="s">
        <v>485</v>
      </c>
      <c r="E87" s="129" t="s">
        <v>49</v>
      </c>
      <c r="F87" s="130">
        <f>MC!F262</f>
        <v>109.04</v>
      </c>
      <c r="G87" s="229">
        <v>6.82</v>
      </c>
      <c r="H87" s="141">
        <f t="shared" si="32"/>
        <v>8.4499999999999993</v>
      </c>
      <c r="I87" s="141">
        <f t="shared" si="33"/>
        <v>921.39</v>
      </c>
    </row>
    <row r="88" spans="1:9" s="68" customFormat="1" x14ac:dyDescent="0.25">
      <c r="A88" s="128" t="s">
        <v>482</v>
      </c>
      <c r="B88" s="129" t="str">
        <f t="shared" si="34"/>
        <v>CDHU-189</v>
      </c>
      <c r="C88" s="129" t="s">
        <v>486</v>
      </c>
      <c r="D88" s="128" t="s">
        <v>487</v>
      </c>
      <c r="E88" s="129" t="s">
        <v>49</v>
      </c>
      <c r="F88" s="130">
        <f>MC!F272</f>
        <v>109.04</v>
      </c>
      <c r="G88" s="229">
        <v>22.01</v>
      </c>
      <c r="H88" s="141">
        <f t="shared" si="32"/>
        <v>27.27</v>
      </c>
      <c r="I88" s="141">
        <f t="shared" si="33"/>
        <v>2973.52</v>
      </c>
    </row>
    <row r="89" spans="1:9" s="68" customFormat="1" x14ac:dyDescent="0.25">
      <c r="A89" s="128" t="s">
        <v>483</v>
      </c>
      <c r="B89" s="129" t="str">
        <f>B88</f>
        <v>CDHU-189</v>
      </c>
      <c r="C89" s="129" t="s">
        <v>430</v>
      </c>
      <c r="D89" s="128" t="s">
        <v>431</v>
      </c>
      <c r="E89" s="129" t="s">
        <v>51</v>
      </c>
      <c r="F89" s="130">
        <f>MC!F274</f>
        <v>21.589999999999996</v>
      </c>
      <c r="G89" s="229">
        <v>18.16</v>
      </c>
      <c r="H89" s="141">
        <f t="shared" ref="H89" si="35">ROUND(G89*(1+$B$11),2)</f>
        <v>22.5</v>
      </c>
      <c r="I89" s="141">
        <f t="shared" ref="I89" si="36">ROUND(H89*F89,2)</f>
        <v>485.78</v>
      </c>
    </row>
    <row r="90" spans="1:9" s="68" customFormat="1" x14ac:dyDescent="0.25">
      <c r="A90" s="128" t="s">
        <v>492</v>
      </c>
      <c r="B90" s="129" t="str">
        <f>B88</f>
        <v>CDHU-189</v>
      </c>
      <c r="C90" s="129" t="s">
        <v>488</v>
      </c>
      <c r="D90" s="128" t="s">
        <v>489</v>
      </c>
      <c r="E90" s="129" t="s">
        <v>51</v>
      </c>
      <c r="F90" s="130">
        <f>MC!F279</f>
        <v>0.5</v>
      </c>
      <c r="G90" s="229">
        <v>173.29</v>
      </c>
      <c r="H90" s="141">
        <f t="shared" si="32"/>
        <v>214.71</v>
      </c>
      <c r="I90" s="141">
        <f t="shared" si="33"/>
        <v>107.36</v>
      </c>
    </row>
    <row r="91" spans="1:9" s="68" customFormat="1" x14ac:dyDescent="0.25">
      <c r="A91" s="128" t="s">
        <v>495</v>
      </c>
      <c r="B91" s="129" t="str">
        <f t="shared" si="34"/>
        <v>CDHU-189</v>
      </c>
      <c r="C91" s="129" t="s">
        <v>490</v>
      </c>
      <c r="D91" s="128" t="s">
        <v>491</v>
      </c>
      <c r="E91" s="129" t="s">
        <v>49</v>
      </c>
      <c r="F91" s="130">
        <f>MC!F282</f>
        <v>16.5</v>
      </c>
      <c r="G91" s="229">
        <v>3.69</v>
      </c>
      <c r="H91" s="141">
        <f t="shared" si="32"/>
        <v>4.57</v>
      </c>
      <c r="I91" s="141">
        <f t="shared" si="33"/>
        <v>75.41</v>
      </c>
    </row>
    <row r="92" spans="1:9" s="68" customFormat="1" x14ac:dyDescent="0.25">
      <c r="A92" s="128" t="s">
        <v>496</v>
      </c>
      <c r="B92" s="129" t="str">
        <f t="shared" si="34"/>
        <v>CDHU-189</v>
      </c>
      <c r="C92" s="129" t="s">
        <v>493</v>
      </c>
      <c r="D92" s="128" t="s">
        <v>494</v>
      </c>
      <c r="E92" s="129" t="s">
        <v>51</v>
      </c>
      <c r="F92" s="130">
        <f>MC!F284</f>
        <v>1.32</v>
      </c>
      <c r="G92" s="229">
        <v>856.44</v>
      </c>
      <c r="H92" s="141">
        <f t="shared" ref="H92:H94" si="37">ROUND(G92*(1+$B$11),2)</f>
        <v>1061.1300000000001</v>
      </c>
      <c r="I92" s="141">
        <f t="shared" ref="I92:I94" si="38">ROUND(H92*F92,2)</f>
        <v>1400.69</v>
      </c>
    </row>
    <row r="93" spans="1:9" s="68" customFormat="1" ht="30" x14ac:dyDescent="0.25">
      <c r="A93" s="128" t="s">
        <v>497</v>
      </c>
      <c r="B93" s="129" t="str">
        <f t="shared" si="34"/>
        <v>CDHU-189</v>
      </c>
      <c r="C93" s="129" t="s">
        <v>531</v>
      </c>
      <c r="D93" s="128" t="s">
        <v>532</v>
      </c>
      <c r="E93" s="129" t="s">
        <v>49</v>
      </c>
      <c r="F93" s="130">
        <f>MC!F287</f>
        <v>81.069999999999993</v>
      </c>
      <c r="G93" s="229">
        <v>197.36</v>
      </c>
      <c r="H93" s="141">
        <f t="shared" si="37"/>
        <v>244.53</v>
      </c>
      <c r="I93" s="141">
        <f t="shared" si="38"/>
        <v>19824.05</v>
      </c>
    </row>
    <row r="94" spans="1:9" s="68" customFormat="1" ht="30" x14ac:dyDescent="0.25">
      <c r="A94" s="128" t="s">
        <v>535</v>
      </c>
      <c r="B94" s="129" t="str">
        <f>B85</f>
        <v>SINAPI - 02/2023</v>
      </c>
      <c r="C94" s="129">
        <v>96800</v>
      </c>
      <c r="D94" s="128" t="s">
        <v>533</v>
      </c>
      <c r="E94" s="129" t="s">
        <v>238</v>
      </c>
      <c r="F94" s="130">
        <f>MC!F295</f>
        <v>81.64</v>
      </c>
      <c r="G94" s="229">
        <v>16.54</v>
      </c>
      <c r="H94" s="141">
        <f t="shared" si="37"/>
        <v>20.49</v>
      </c>
      <c r="I94" s="141">
        <f t="shared" si="38"/>
        <v>1672.8</v>
      </c>
    </row>
    <row r="95" spans="1:9" s="68" customFormat="1" ht="30" x14ac:dyDescent="0.25">
      <c r="A95" s="128" t="s">
        <v>536</v>
      </c>
      <c r="B95" s="129" t="str">
        <f>B94</f>
        <v>SINAPI - 02/2023</v>
      </c>
      <c r="C95" s="129">
        <v>96801</v>
      </c>
      <c r="D95" s="128" t="s">
        <v>534</v>
      </c>
      <c r="E95" s="129" t="s">
        <v>238</v>
      </c>
      <c r="F95" s="130">
        <f>MC!F297</f>
        <v>54.910000000000004</v>
      </c>
      <c r="G95" s="229">
        <v>25.12</v>
      </c>
      <c r="H95" s="141">
        <f t="shared" ref="H95" si="39">ROUND(G95*(1+$B$11),2)</f>
        <v>31.12</v>
      </c>
      <c r="I95" s="141">
        <f t="shared" ref="I95" si="40">ROUND(H95*F95,2)</f>
        <v>1708.8</v>
      </c>
    </row>
    <row r="96" spans="1:9" s="68" customFormat="1" ht="45" x14ac:dyDescent="0.25">
      <c r="A96" s="128" t="s">
        <v>537</v>
      </c>
      <c r="B96" s="129" t="str">
        <f>B95</f>
        <v>SINAPI - 02/2023</v>
      </c>
      <c r="C96" s="129">
        <v>96817</v>
      </c>
      <c r="D96" s="128" t="s">
        <v>542</v>
      </c>
      <c r="E96" s="129" t="s">
        <v>91</v>
      </c>
      <c r="F96" s="130">
        <f>MC!F299</f>
        <v>7</v>
      </c>
      <c r="G96" s="229">
        <v>31.85</v>
      </c>
      <c r="H96" s="141">
        <f t="shared" ref="H96:H99" si="41">ROUND(G96*(1+$B$11),2)</f>
        <v>39.46</v>
      </c>
      <c r="I96" s="141">
        <f t="shared" ref="I96:I99" si="42">ROUND(H96*F96,2)</f>
        <v>276.22000000000003</v>
      </c>
    </row>
    <row r="97" spans="1:10" s="68" customFormat="1" ht="45" x14ac:dyDescent="0.25">
      <c r="A97" s="128" t="s">
        <v>546</v>
      </c>
      <c r="B97" s="129" t="str">
        <f>B96</f>
        <v>SINAPI - 02/2023</v>
      </c>
      <c r="C97" s="129">
        <v>96821</v>
      </c>
      <c r="D97" s="128" t="s">
        <v>543</v>
      </c>
      <c r="E97" s="129" t="s">
        <v>91</v>
      </c>
      <c r="F97" s="130">
        <f>MC!F304</f>
        <v>3</v>
      </c>
      <c r="G97" s="229">
        <v>35.35</v>
      </c>
      <c r="H97" s="141">
        <f t="shared" si="41"/>
        <v>43.8</v>
      </c>
      <c r="I97" s="141">
        <f t="shared" si="42"/>
        <v>131.4</v>
      </c>
    </row>
    <row r="98" spans="1:10" s="68" customFormat="1" ht="30" x14ac:dyDescent="0.25">
      <c r="A98" s="128" t="s">
        <v>547</v>
      </c>
      <c r="B98" s="129" t="str">
        <f>B97</f>
        <v>SINAPI - 02/2023</v>
      </c>
      <c r="C98" s="129">
        <v>96864</v>
      </c>
      <c r="D98" s="128" t="s">
        <v>544</v>
      </c>
      <c r="E98" s="129" t="s">
        <v>91</v>
      </c>
      <c r="F98" s="130">
        <f>MC!F307</f>
        <v>2</v>
      </c>
      <c r="G98" s="229">
        <v>49.03</v>
      </c>
      <c r="H98" s="141">
        <f t="shared" si="41"/>
        <v>60.75</v>
      </c>
      <c r="I98" s="141">
        <f t="shared" si="42"/>
        <v>121.5</v>
      </c>
    </row>
    <row r="99" spans="1:10" s="68" customFormat="1" ht="30" x14ac:dyDescent="0.25">
      <c r="A99" s="128" t="s">
        <v>548</v>
      </c>
      <c r="B99" s="129" t="str">
        <f>B98</f>
        <v>SINAPI - 02/2023</v>
      </c>
      <c r="C99" s="129">
        <v>96866</v>
      </c>
      <c r="D99" s="128" t="s">
        <v>545</v>
      </c>
      <c r="E99" s="129" t="s">
        <v>91</v>
      </c>
      <c r="F99" s="130">
        <f>MC!F311</f>
        <v>1</v>
      </c>
      <c r="G99" s="229">
        <v>63.41</v>
      </c>
      <c r="H99" s="141">
        <f t="shared" si="41"/>
        <v>78.56</v>
      </c>
      <c r="I99" s="141">
        <f t="shared" si="42"/>
        <v>78.56</v>
      </c>
    </row>
    <row r="100" spans="1:10" s="68" customFormat="1" ht="30" x14ac:dyDescent="0.25">
      <c r="A100" s="128" t="s">
        <v>553</v>
      </c>
      <c r="B100" s="129" t="str">
        <f>B93</f>
        <v>CDHU-189</v>
      </c>
      <c r="C100" s="129" t="s">
        <v>549</v>
      </c>
      <c r="D100" s="128" t="s">
        <v>550</v>
      </c>
      <c r="E100" s="129" t="s">
        <v>91</v>
      </c>
      <c r="F100" s="130">
        <f>MC!F314</f>
        <v>3</v>
      </c>
      <c r="G100" s="229">
        <v>92.47</v>
      </c>
      <c r="H100" s="141">
        <f t="shared" ref="H100" si="43">ROUND(G100*(1+$B$11),2)</f>
        <v>114.57</v>
      </c>
      <c r="I100" s="141">
        <f t="shared" ref="I100" si="44">ROUND(H100*F100,2)</f>
        <v>343.71</v>
      </c>
    </row>
    <row r="101" spans="1:10" s="68" customFormat="1" ht="30" x14ac:dyDescent="0.25">
      <c r="A101" s="128" t="s">
        <v>554</v>
      </c>
      <c r="B101" s="129" t="s">
        <v>555</v>
      </c>
      <c r="C101" s="129">
        <v>3264</v>
      </c>
      <c r="D101" s="128" t="s">
        <v>551</v>
      </c>
      <c r="E101" s="129" t="s">
        <v>552</v>
      </c>
      <c r="F101" s="130">
        <f>MC!F316</f>
        <v>2</v>
      </c>
      <c r="G101" s="229">
        <v>31.67</v>
      </c>
      <c r="H101" s="141">
        <f t="shared" ref="H101:H103" si="45">ROUND(G101*(1+$B$11),2)</f>
        <v>39.24</v>
      </c>
      <c r="I101" s="141">
        <f t="shared" ref="I101:I103" si="46">ROUND(H101*F101,2)</f>
        <v>78.48</v>
      </c>
    </row>
    <row r="102" spans="1:10" s="68" customFormat="1" ht="30" x14ac:dyDescent="0.25">
      <c r="A102" s="128" t="s">
        <v>558</v>
      </c>
      <c r="B102" s="129" t="str">
        <f>B101</f>
        <v>SINAPI-I - 02/2023</v>
      </c>
      <c r="C102" s="129">
        <v>3265</v>
      </c>
      <c r="D102" s="128" t="s">
        <v>571</v>
      </c>
      <c r="E102" s="129" t="s">
        <v>91</v>
      </c>
      <c r="F102" s="130">
        <f>MC!F320</f>
        <v>3</v>
      </c>
      <c r="G102" s="229">
        <v>44.04</v>
      </c>
      <c r="H102" s="141">
        <f t="shared" ref="H102" si="47">ROUND(G102*(1+$B$11),2)</f>
        <v>54.57</v>
      </c>
      <c r="I102" s="141">
        <f t="shared" ref="I102" si="48">ROUND(H102*F102,2)</f>
        <v>163.71</v>
      </c>
    </row>
    <row r="103" spans="1:10" s="68" customFormat="1" x14ac:dyDescent="0.25">
      <c r="A103" s="128" t="s">
        <v>570</v>
      </c>
      <c r="B103" s="129" t="str">
        <f>B100</f>
        <v>CDHU-189</v>
      </c>
      <c r="C103" s="129" t="s">
        <v>556</v>
      </c>
      <c r="D103" s="128" t="s">
        <v>557</v>
      </c>
      <c r="E103" s="129" t="s">
        <v>91</v>
      </c>
      <c r="F103" s="130">
        <f>MC!F325</f>
        <v>1</v>
      </c>
      <c r="G103" s="229">
        <v>3583.85</v>
      </c>
      <c r="H103" s="141">
        <f t="shared" si="45"/>
        <v>4440.3900000000003</v>
      </c>
      <c r="I103" s="141">
        <f t="shared" si="46"/>
        <v>4440.3900000000003</v>
      </c>
    </row>
    <row r="104" spans="1:10" s="68" customFormat="1" x14ac:dyDescent="0.25">
      <c r="A104" s="128" t="s">
        <v>581</v>
      </c>
      <c r="B104" s="129" t="str">
        <f>B103</f>
        <v>CDHU-189</v>
      </c>
      <c r="C104" s="129" t="s">
        <v>579</v>
      </c>
      <c r="D104" s="128" t="s">
        <v>580</v>
      </c>
      <c r="E104" s="129" t="s">
        <v>91</v>
      </c>
      <c r="F104" s="130">
        <f>MC!F327</f>
        <v>3</v>
      </c>
      <c r="G104" s="229">
        <v>158.04</v>
      </c>
      <c r="H104" s="141">
        <f t="shared" ref="H104" si="49">ROUND(G104*(1+$B$11),2)</f>
        <v>195.81</v>
      </c>
      <c r="I104" s="141">
        <f t="shared" ref="I104" si="50">ROUND(H104*F104,2)</f>
        <v>587.42999999999995</v>
      </c>
    </row>
    <row r="105" spans="1:10" s="68" customFormat="1" x14ac:dyDescent="0.25">
      <c r="A105" s="211"/>
      <c r="B105" s="212"/>
      <c r="C105" s="212"/>
      <c r="D105" s="213"/>
      <c r="E105" s="212"/>
      <c r="F105" s="214"/>
      <c r="G105" s="215"/>
      <c r="H105" s="217"/>
      <c r="I105" s="216"/>
    </row>
    <row r="106" spans="1:10" s="111" customFormat="1" ht="15.75" x14ac:dyDescent="0.25">
      <c r="A106" s="136"/>
      <c r="B106" s="137"/>
      <c r="C106" s="137"/>
      <c r="D106" s="137"/>
      <c r="E106" s="137"/>
      <c r="F106" s="138"/>
      <c r="G106" s="137"/>
      <c r="H106" s="139" t="s">
        <v>583</v>
      </c>
      <c r="I106" s="140">
        <f>I78+I63+I57+I32+I27+I24+I17+I15</f>
        <v>323415.7900000001</v>
      </c>
      <c r="J106" s="73"/>
    </row>
    <row r="107" spans="1:10" x14ac:dyDescent="0.25"/>
    <row r="108" spans="1:10" x14ac:dyDescent="0.25">
      <c r="I108" s="4"/>
    </row>
    <row r="109" spans="1:10" x14ac:dyDescent="0.25"/>
    <row r="110" spans="1:10" x14ac:dyDescent="0.25">
      <c r="A110" s="222"/>
      <c r="B110" s="223"/>
      <c r="C110" s="224"/>
      <c r="D110" s="224"/>
      <c r="E110" s="224"/>
      <c r="F110" s="225" t="s">
        <v>80</v>
      </c>
      <c r="G110" s="301">
        <f ca="1">TODAY()</f>
        <v>45127</v>
      </c>
      <c r="H110" s="301"/>
      <c r="I110" s="301"/>
    </row>
    <row r="111" spans="1:10" x14ac:dyDescent="0.25">
      <c r="A111" s="222"/>
      <c r="B111" s="223"/>
      <c r="C111" s="224"/>
      <c r="D111" s="224"/>
      <c r="E111" s="224"/>
      <c r="F111" s="226"/>
      <c r="G111" s="224"/>
      <c r="H111" s="224"/>
      <c r="I111" s="224"/>
    </row>
    <row r="112" spans="1:10" x14ac:dyDescent="0.25">
      <c r="A112" s="222"/>
      <c r="B112" s="223"/>
      <c r="C112" s="224"/>
      <c r="D112" s="224"/>
      <c r="E112" s="224"/>
      <c r="F112" s="226"/>
      <c r="G112" s="224"/>
      <c r="H112" s="224"/>
      <c r="I112" s="224"/>
    </row>
    <row r="113" spans="1:9" x14ac:dyDescent="0.25">
      <c r="A113" s="222"/>
      <c r="B113" s="223"/>
      <c r="C113" s="224"/>
      <c r="D113" s="224"/>
      <c r="E113" s="224"/>
      <c r="F113" s="226"/>
      <c r="G113" s="224"/>
      <c r="H113" s="224"/>
      <c r="I113" s="224"/>
    </row>
    <row r="114" spans="1:9" x14ac:dyDescent="0.25">
      <c r="A114" s="222"/>
      <c r="B114" s="223"/>
      <c r="C114" s="224"/>
      <c r="D114" s="224"/>
      <c r="E114" s="224"/>
      <c r="F114" s="302"/>
      <c r="G114" s="302"/>
      <c r="H114" s="302"/>
      <c r="I114" s="224"/>
    </row>
    <row r="115" spans="1:9" x14ac:dyDescent="0.25">
      <c r="A115" s="222"/>
      <c r="B115" s="223"/>
      <c r="C115" s="224"/>
      <c r="D115" s="224"/>
      <c r="E115" s="224"/>
      <c r="F115" s="300"/>
      <c r="G115" s="300"/>
      <c r="H115" s="300"/>
      <c r="I115" s="224"/>
    </row>
    <row r="116" spans="1:9" x14ac:dyDescent="0.25">
      <c r="A116" s="222"/>
      <c r="B116" s="223"/>
      <c r="C116" s="224"/>
      <c r="D116" s="224"/>
      <c r="E116" s="224"/>
      <c r="F116" s="300"/>
      <c r="G116" s="300"/>
      <c r="H116" s="300"/>
      <c r="I116" s="224"/>
    </row>
    <row r="117" spans="1:9" x14ac:dyDescent="0.25">
      <c r="A117" s="222"/>
      <c r="B117" s="223"/>
      <c r="C117" s="224"/>
      <c r="D117" s="224"/>
      <c r="E117" s="224"/>
      <c r="F117" s="300"/>
      <c r="G117" s="300"/>
      <c r="H117" s="300"/>
      <c r="I117" s="224"/>
    </row>
    <row r="118" spans="1:9" x14ac:dyDescent="0.25">
      <c r="A118" s="222"/>
      <c r="B118" s="223"/>
      <c r="C118" s="224"/>
      <c r="D118" s="224"/>
      <c r="E118" s="224"/>
      <c r="F118" s="300"/>
      <c r="G118" s="300"/>
      <c r="H118" s="300"/>
      <c r="I118" s="224"/>
    </row>
    <row r="119" spans="1:9" x14ac:dyDescent="0.25">
      <c r="F119" s="56"/>
      <c r="G119" s="57"/>
      <c r="H119" s="57"/>
    </row>
  </sheetData>
  <sheetProtection algorithmName="SHA-512" hashValue="urmCsfPg5MzNbsuK98q93fQEAqj736ICLa/ehxyo+3kZI9J0Ug3V0Fn8tcvxn/q68Zg9AOjXKy2naxP9/WW5zQ==" saltValue="zlJgCUs2d5Gy4qTUjPp1Kg==" spinCount="100000" sheet="1" objects="1" scenarios="1" formatCells="0" formatColumns="0" formatRows="0" insertRows="0"/>
  <mergeCells count="12">
    <mergeCell ref="F118:H118"/>
    <mergeCell ref="G110:I110"/>
    <mergeCell ref="F114:H114"/>
    <mergeCell ref="F115:H115"/>
    <mergeCell ref="F116:H116"/>
    <mergeCell ref="F117:H117"/>
    <mergeCell ref="A6:I6"/>
    <mergeCell ref="D1:I1"/>
    <mergeCell ref="D2:I2"/>
    <mergeCell ref="D3:I3"/>
    <mergeCell ref="D4:I4"/>
    <mergeCell ref="D5:I5"/>
  </mergeCells>
  <pageMargins left="0.59055118110236227" right="0.59055118110236227" top="0.78740157480314965" bottom="0.59055118110236227" header="0.31496062992125984" footer="0.31496062992125984"/>
  <pageSetup paperSize="9" scale="80" fitToHeight="0" orientation="landscape" horizontalDpi="1200" verticalDpi="1200" r:id="rId1"/>
  <headerFooter>
    <oddFooter>&amp;CPágina &amp;P de &amp;N&amp;R&amp;D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1"/>
  <sheetViews>
    <sheetView zoomScale="85" zoomScaleNormal="85" workbookViewId="0">
      <selection activeCell="B29" sqref="B29:B31"/>
    </sheetView>
  </sheetViews>
  <sheetFormatPr defaultColWidth="0" defaultRowHeight="15" zeroHeight="1" x14ac:dyDescent="0.25"/>
  <cols>
    <col min="1" max="1" width="6.42578125" customWidth="1"/>
    <col min="2" max="2" width="17.7109375" customWidth="1"/>
    <col min="3" max="3" width="15.85546875" bestFit="1" customWidth="1"/>
    <col min="4" max="4" width="9.85546875" bestFit="1" customWidth="1"/>
    <col min="5" max="16" width="15.7109375" customWidth="1"/>
    <col min="17" max="17" width="0.5703125" customWidth="1"/>
  </cols>
  <sheetData>
    <row r="1" spans="1:16" ht="20.25" x14ac:dyDescent="0.3">
      <c r="A1" s="77"/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</row>
    <row r="2" spans="1:16" ht="20.25" x14ac:dyDescent="0.3">
      <c r="A2" s="326"/>
      <c r="B2" s="328" t="s">
        <v>599</v>
      </c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</row>
    <row r="3" spans="1:16" x14ac:dyDescent="0.25">
      <c r="A3" s="326"/>
      <c r="B3" s="329"/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329"/>
    </row>
    <row r="4" spans="1:16" x14ac:dyDescent="0.25">
      <c r="A4" s="326"/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329"/>
      <c r="M4" s="329"/>
      <c r="N4" s="329"/>
      <c r="O4" s="329"/>
      <c r="P4" s="329"/>
    </row>
    <row r="5" spans="1:16" x14ac:dyDescent="0.25">
      <c r="A5" s="327"/>
      <c r="B5" s="330"/>
      <c r="C5" s="330"/>
      <c r="D5" s="330"/>
      <c r="E5" s="330"/>
      <c r="F5" s="330"/>
      <c r="G5" s="330"/>
      <c r="H5" s="330"/>
      <c r="I5" s="330"/>
      <c r="J5" s="330"/>
      <c r="K5" s="330"/>
      <c r="L5" s="330"/>
      <c r="M5" s="330"/>
      <c r="N5" s="330"/>
      <c r="O5" s="330"/>
      <c r="P5" s="330"/>
    </row>
    <row r="6" spans="1:16" x14ac:dyDescent="0.25">
      <c r="A6" s="316" t="s">
        <v>128</v>
      </c>
      <c r="B6" s="316"/>
      <c r="C6" s="316"/>
      <c r="D6" s="316"/>
      <c r="E6" s="316"/>
      <c r="F6" s="316"/>
      <c r="G6" s="316"/>
      <c r="H6" s="316"/>
      <c r="I6" s="316"/>
      <c r="J6" s="316"/>
      <c r="K6" s="316"/>
      <c r="L6" s="316"/>
      <c r="M6" s="316"/>
      <c r="N6" s="316"/>
      <c r="O6" s="316"/>
      <c r="P6" s="316"/>
    </row>
    <row r="7" spans="1:16" x14ac:dyDescent="0.25">
      <c r="A7" s="78" t="str">
        <f>BDI!B7</f>
        <v>OBJETO: PAISAGISMO DA ÁREA EXTERNA DO SALÃO MULTIUSO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80"/>
    </row>
    <row r="8" spans="1:16" hidden="1" x14ac:dyDescent="0.25">
      <c r="A8" s="317" t="s">
        <v>129</v>
      </c>
      <c r="B8" s="318"/>
      <c r="C8" s="318"/>
      <c r="D8" s="318"/>
      <c r="E8" s="318"/>
      <c r="F8" s="318"/>
      <c r="G8" s="318"/>
      <c r="H8" s="318"/>
      <c r="I8" s="318"/>
      <c r="J8" s="318"/>
      <c r="K8" s="318"/>
      <c r="L8" s="318"/>
      <c r="M8" s="318"/>
      <c r="N8" s="318"/>
      <c r="O8" s="318"/>
      <c r="P8" s="319"/>
    </row>
    <row r="9" spans="1:16" x14ac:dyDescent="0.25">
      <c r="A9" s="320" t="s">
        <v>0</v>
      </c>
      <c r="B9" s="321" t="s">
        <v>21</v>
      </c>
      <c r="C9" s="322" t="s">
        <v>130</v>
      </c>
      <c r="D9" s="323"/>
      <c r="E9" s="321" t="s">
        <v>131</v>
      </c>
      <c r="F9" s="321"/>
      <c r="G9" s="321"/>
      <c r="H9" s="321"/>
      <c r="I9" s="321"/>
      <c r="J9" s="321"/>
      <c r="K9" s="321"/>
      <c r="L9" s="321"/>
      <c r="M9" s="321"/>
      <c r="N9" s="321"/>
      <c r="O9" s="321"/>
      <c r="P9" s="321"/>
    </row>
    <row r="10" spans="1:16" x14ac:dyDescent="0.25">
      <c r="A10" s="320"/>
      <c r="B10" s="321"/>
      <c r="C10" s="322"/>
      <c r="D10" s="324"/>
      <c r="E10" s="81">
        <v>1</v>
      </c>
      <c r="F10" s="81">
        <v>2</v>
      </c>
      <c r="G10" s="81">
        <v>3</v>
      </c>
      <c r="H10" s="81">
        <v>4</v>
      </c>
      <c r="I10" s="81">
        <v>5</v>
      </c>
      <c r="J10" s="81">
        <v>6</v>
      </c>
      <c r="K10" s="81">
        <v>7</v>
      </c>
      <c r="L10" s="81">
        <v>8</v>
      </c>
      <c r="M10" s="81">
        <v>9</v>
      </c>
      <c r="N10" s="81">
        <v>10</v>
      </c>
      <c r="O10" s="81">
        <v>11</v>
      </c>
      <c r="P10" s="81">
        <v>12</v>
      </c>
    </row>
    <row r="11" spans="1:16" s="33" customFormat="1" ht="15" customHeight="1" x14ac:dyDescent="0.25">
      <c r="A11" s="303" t="str">
        <f>PO!A15</f>
        <v>1.1</v>
      </c>
      <c r="B11" s="306" t="str">
        <f>PO!D15</f>
        <v>PLACA DE OBRA</v>
      </c>
      <c r="C11" s="309">
        <f>PO!I15</f>
        <v>443.02</v>
      </c>
      <c r="D11" s="82" t="s">
        <v>132</v>
      </c>
      <c r="E11" s="83">
        <f>C11</f>
        <v>443.02</v>
      </c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</row>
    <row r="12" spans="1:16" s="33" customFormat="1" x14ac:dyDescent="0.25">
      <c r="A12" s="304"/>
      <c r="B12" s="307"/>
      <c r="C12" s="310"/>
      <c r="D12" s="84" t="s">
        <v>22</v>
      </c>
      <c r="E12" s="85">
        <f>E11/C11</f>
        <v>1</v>
      </c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</row>
    <row r="13" spans="1:16" s="33" customFormat="1" x14ac:dyDescent="0.25">
      <c r="A13" s="305"/>
      <c r="B13" s="308"/>
      <c r="C13" s="311"/>
      <c r="D13" s="86" t="s">
        <v>133</v>
      </c>
      <c r="E13" s="87">
        <f>E12</f>
        <v>1</v>
      </c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</row>
    <row r="14" spans="1:16" s="33" customFormat="1" x14ac:dyDescent="0.25">
      <c r="A14" s="303" t="str">
        <f>PO!A17</f>
        <v>1.2</v>
      </c>
      <c r="B14" s="306" t="str">
        <f>PO!D17</f>
        <v>SERVIÇOS PRELIMINARES</v>
      </c>
      <c r="C14" s="309">
        <f>PO!I17</f>
        <v>5625.7099999999991</v>
      </c>
      <c r="D14" s="82" t="s">
        <v>132</v>
      </c>
      <c r="E14" s="83">
        <f>C14</f>
        <v>5625.7099999999991</v>
      </c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</row>
    <row r="15" spans="1:16" s="33" customFormat="1" x14ac:dyDescent="0.25">
      <c r="A15" s="304"/>
      <c r="B15" s="307"/>
      <c r="C15" s="310"/>
      <c r="D15" s="84" t="s">
        <v>22</v>
      </c>
      <c r="E15" s="85">
        <f>E14/C14</f>
        <v>1</v>
      </c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</row>
    <row r="16" spans="1:16" s="33" customFormat="1" x14ac:dyDescent="0.25">
      <c r="A16" s="305"/>
      <c r="B16" s="308"/>
      <c r="C16" s="311"/>
      <c r="D16" s="86" t="s">
        <v>133</v>
      </c>
      <c r="E16" s="87">
        <f>E15</f>
        <v>1</v>
      </c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</row>
    <row r="17" spans="1:16" s="33" customFormat="1" x14ac:dyDescent="0.25">
      <c r="A17" s="303" t="str">
        <f>PO!A24</f>
        <v>1.3</v>
      </c>
      <c r="B17" s="306" t="str">
        <f>PO!D24</f>
        <v>PASSEIO</v>
      </c>
      <c r="C17" s="309">
        <f>PO!I24</f>
        <v>134253.86000000002</v>
      </c>
      <c r="D17" s="82" t="s">
        <v>132</v>
      </c>
      <c r="E17" s="83"/>
      <c r="F17" s="83"/>
      <c r="G17" s="83"/>
      <c r="H17" s="83">
        <f>ROUND(C17*0.5,2)</f>
        <v>67126.929999999993</v>
      </c>
      <c r="I17" s="83">
        <f>H17</f>
        <v>67126.929999999993</v>
      </c>
      <c r="J17" s="83"/>
      <c r="K17" s="83"/>
      <c r="L17" s="83"/>
      <c r="M17" s="83"/>
      <c r="N17" s="83"/>
      <c r="O17" s="83"/>
      <c r="P17" s="83"/>
    </row>
    <row r="18" spans="1:16" s="33" customFormat="1" x14ac:dyDescent="0.25">
      <c r="A18" s="304"/>
      <c r="B18" s="307"/>
      <c r="C18" s="310"/>
      <c r="D18" s="84" t="s">
        <v>22</v>
      </c>
      <c r="E18" s="85"/>
      <c r="F18" s="85"/>
      <c r="G18" s="85"/>
      <c r="H18" s="85">
        <f>H17/C17</f>
        <v>0.49999999999999989</v>
      </c>
      <c r="I18" s="85">
        <f>I17/C17</f>
        <v>0.49999999999999989</v>
      </c>
      <c r="J18" s="85"/>
      <c r="K18" s="85"/>
      <c r="L18" s="85"/>
      <c r="M18" s="85"/>
      <c r="N18" s="85"/>
      <c r="O18" s="85"/>
      <c r="P18" s="85"/>
    </row>
    <row r="19" spans="1:16" s="33" customFormat="1" x14ac:dyDescent="0.25">
      <c r="A19" s="305"/>
      <c r="B19" s="308"/>
      <c r="C19" s="311"/>
      <c r="D19" s="86" t="s">
        <v>133</v>
      </c>
      <c r="E19" s="87"/>
      <c r="F19" s="86"/>
      <c r="G19" s="86"/>
      <c r="H19" s="86">
        <f>H18</f>
        <v>0.49999999999999989</v>
      </c>
      <c r="I19" s="86">
        <f>I18+H19</f>
        <v>0.99999999999999978</v>
      </c>
      <c r="J19" s="86"/>
      <c r="K19" s="86"/>
      <c r="L19" s="86"/>
      <c r="M19" s="86"/>
      <c r="N19" s="86"/>
      <c r="O19" s="86"/>
      <c r="P19" s="86"/>
    </row>
    <row r="20" spans="1:16" s="33" customFormat="1" x14ac:dyDescent="0.25">
      <c r="A20" s="303" t="str">
        <f>PO!A27</f>
        <v>1.4</v>
      </c>
      <c r="B20" s="306" t="str">
        <f>PO!D27</f>
        <v>VEGETAÇÃO</v>
      </c>
      <c r="C20" s="309">
        <f>PO!I27</f>
        <v>14958.789999999999</v>
      </c>
      <c r="D20" s="82" t="s">
        <v>132</v>
      </c>
      <c r="E20" s="83"/>
      <c r="F20" s="83"/>
      <c r="G20" s="83"/>
      <c r="H20" s="83"/>
      <c r="I20" s="83"/>
      <c r="J20" s="83">
        <f>C20</f>
        <v>14958.789999999999</v>
      </c>
      <c r="K20" s="83"/>
      <c r="L20" s="83"/>
      <c r="M20" s="83"/>
      <c r="N20" s="83"/>
      <c r="O20" s="83"/>
      <c r="P20" s="83"/>
    </row>
    <row r="21" spans="1:16" s="33" customFormat="1" x14ac:dyDescent="0.25">
      <c r="A21" s="304"/>
      <c r="B21" s="307"/>
      <c r="C21" s="310"/>
      <c r="D21" s="84" t="s">
        <v>22</v>
      </c>
      <c r="E21" s="85"/>
      <c r="F21" s="85"/>
      <c r="G21" s="85"/>
      <c r="H21" s="85"/>
      <c r="I21" s="85"/>
      <c r="J21" s="85">
        <f>J20/C20</f>
        <v>1</v>
      </c>
      <c r="K21" s="85"/>
      <c r="L21" s="85"/>
      <c r="M21" s="85"/>
      <c r="N21" s="85"/>
      <c r="O21" s="85"/>
      <c r="P21" s="85"/>
    </row>
    <row r="22" spans="1:16" s="33" customFormat="1" x14ac:dyDescent="0.25">
      <c r="A22" s="305"/>
      <c r="B22" s="308"/>
      <c r="C22" s="311"/>
      <c r="D22" s="86" t="s">
        <v>133</v>
      </c>
      <c r="E22" s="87"/>
      <c r="F22" s="86"/>
      <c r="G22" s="86"/>
      <c r="H22" s="86"/>
      <c r="I22" s="86"/>
      <c r="J22" s="86">
        <f>J21</f>
        <v>1</v>
      </c>
      <c r="K22" s="86"/>
      <c r="L22" s="86"/>
      <c r="M22" s="86"/>
      <c r="N22" s="86"/>
      <c r="O22" s="86"/>
      <c r="P22" s="86"/>
    </row>
    <row r="23" spans="1:16" ht="15" customHeight="1" x14ac:dyDescent="0.25">
      <c r="A23" s="303" t="str">
        <f>PO!A32</f>
        <v>1.5</v>
      </c>
      <c r="B23" s="306" t="str">
        <f>PO!D32</f>
        <v>INSTALAÇÕES ELÉTRICAS</v>
      </c>
      <c r="C23" s="309">
        <f>PO!I32</f>
        <v>64411.770000000004</v>
      </c>
      <c r="D23" s="82" t="s">
        <v>132</v>
      </c>
      <c r="E23" s="83"/>
      <c r="F23" s="83">
        <f>C23</f>
        <v>64411.770000000004</v>
      </c>
      <c r="G23" s="83"/>
      <c r="H23" s="83"/>
      <c r="I23" s="83"/>
      <c r="J23" s="83"/>
      <c r="K23" s="83"/>
      <c r="L23" s="83"/>
      <c r="M23" s="83"/>
      <c r="N23" s="83"/>
      <c r="O23" s="83"/>
      <c r="P23" s="83"/>
    </row>
    <row r="24" spans="1:16" x14ac:dyDescent="0.25">
      <c r="A24" s="304"/>
      <c r="B24" s="307"/>
      <c r="C24" s="310"/>
      <c r="D24" s="84" t="s">
        <v>22</v>
      </c>
      <c r="E24" s="85"/>
      <c r="F24" s="85">
        <f>F23/C23</f>
        <v>1</v>
      </c>
      <c r="G24" s="85"/>
      <c r="H24" s="85"/>
      <c r="I24" s="85"/>
      <c r="J24" s="85"/>
      <c r="K24" s="85"/>
      <c r="L24" s="85"/>
      <c r="M24" s="85"/>
      <c r="N24" s="85"/>
      <c r="O24" s="85"/>
      <c r="P24" s="85"/>
    </row>
    <row r="25" spans="1:16" x14ac:dyDescent="0.25">
      <c r="A25" s="305"/>
      <c r="B25" s="308"/>
      <c r="C25" s="311"/>
      <c r="D25" s="86" t="s">
        <v>133</v>
      </c>
      <c r="E25" s="87"/>
      <c r="F25" s="86">
        <f>F24</f>
        <v>1</v>
      </c>
      <c r="G25" s="86"/>
      <c r="H25" s="86"/>
      <c r="I25" s="86"/>
      <c r="J25" s="86"/>
      <c r="K25" s="86"/>
      <c r="L25" s="86"/>
      <c r="M25" s="86"/>
      <c r="N25" s="86"/>
      <c r="O25" s="86"/>
      <c r="P25" s="86"/>
    </row>
    <row r="26" spans="1:16" x14ac:dyDescent="0.25">
      <c r="A26" s="303" t="str">
        <f>PO!A57</f>
        <v>1.6</v>
      </c>
      <c r="B26" s="306" t="str">
        <f>PO!D57</f>
        <v>MOBILIÁRIO URBANO E SINALIZAÇÃO</v>
      </c>
      <c r="C26" s="309">
        <f>PO!I57</f>
        <v>14257.249999999998</v>
      </c>
      <c r="D26" s="82" t="s">
        <v>132</v>
      </c>
      <c r="E26" s="83"/>
      <c r="F26" s="83"/>
      <c r="G26" s="83"/>
      <c r="H26" s="83"/>
      <c r="I26" s="83"/>
      <c r="J26" s="83">
        <f>C26</f>
        <v>14257.249999999998</v>
      </c>
      <c r="K26" s="83"/>
      <c r="L26" s="83"/>
      <c r="M26" s="83"/>
      <c r="N26" s="83"/>
      <c r="O26" s="83"/>
      <c r="P26" s="83"/>
    </row>
    <row r="27" spans="1:16" x14ac:dyDescent="0.25">
      <c r="A27" s="304"/>
      <c r="B27" s="307"/>
      <c r="C27" s="310"/>
      <c r="D27" s="84" t="s">
        <v>22</v>
      </c>
      <c r="E27" s="85"/>
      <c r="F27" s="85"/>
      <c r="G27" s="85"/>
      <c r="H27" s="85"/>
      <c r="I27" s="85"/>
      <c r="J27" s="85">
        <f>J26/C26</f>
        <v>1</v>
      </c>
      <c r="K27" s="85"/>
      <c r="L27" s="85"/>
      <c r="M27" s="85"/>
      <c r="N27" s="85"/>
      <c r="O27" s="85"/>
      <c r="P27" s="85"/>
    </row>
    <row r="28" spans="1:16" x14ac:dyDescent="0.25">
      <c r="A28" s="305"/>
      <c r="B28" s="308"/>
      <c r="C28" s="311"/>
      <c r="D28" s="86" t="s">
        <v>133</v>
      </c>
      <c r="E28" s="87"/>
      <c r="F28" s="86"/>
      <c r="G28" s="86"/>
      <c r="H28" s="86"/>
      <c r="I28" s="86"/>
      <c r="J28" s="86">
        <f>J27</f>
        <v>1</v>
      </c>
      <c r="K28" s="86"/>
      <c r="L28" s="86"/>
      <c r="M28" s="86"/>
      <c r="N28" s="86"/>
      <c r="O28" s="86"/>
      <c r="P28" s="86"/>
    </row>
    <row r="29" spans="1:16" s="33" customFormat="1" x14ac:dyDescent="0.25">
      <c r="A29" s="303" t="str">
        <f>PO!A63</f>
        <v>1.7</v>
      </c>
      <c r="B29" s="306" t="str">
        <f>PO!D63</f>
        <v xml:space="preserve">PERGOLADO </v>
      </c>
      <c r="C29" s="309">
        <f>PO!I63</f>
        <v>36259.120000000003</v>
      </c>
      <c r="D29" s="82" t="s">
        <v>132</v>
      </c>
      <c r="E29" s="83"/>
      <c r="F29" s="83"/>
      <c r="G29" s="83">
        <f>C29</f>
        <v>36259.120000000003</v>
      </c>
      <c r="H29" s="83"/>
      <c r="I29" s="83"/>
      <c r="J29" s="83"/>
      <c r="K29" s="83"/>
      <c r="L29" s="83"/>
      <c r="M29" s="83"/>
      <c r="N29" s="83"/>
      <c r="O29" s="83"/>
      <c r="P29" s="83"/>
    </row>
    <row r="30" spans="1:16" s="33" customFormat="1" x14ac:dyDescent="0.25">
      <c r="A30" s="304"/>
      <c r="B30" s="307"/>
      <c r="C30" s="310"/>
      <c r="D30" s="84" t="s">
        <v>22</v>
      </c>
      <c r="E30" s="85"/>
      <c r="F30" s="85"/>
      <c r="G30" s="85">
        <f>G29/C29</f>
        <v>1</v>
      </c>
      <c r="H30" s="85"/>
      <c r="I30" s="85"/>
      <c r="J30" s="85"/>
      <c r="K30" s="85"/>
      <c r="L30" s="85"/>
      <c r="M30" s="85"/>
      <c r="N30" s="85"/>
      <c r="O30" s="85"/>
      <c r="P30" s="85"/>
    </row>
    <row r="31" spans="1:16" s="33" customFormat="1" x14ac:dyDescent="0.25">
      <c r="A31" s="305"/>
      <c r="B31" s="308"/>
      <c r="C31" s="311"/>
      <c r="D31" s="86" t="s">
        <v>133</v>
      </c>
      <c r="E31" s="87"/>
      <c r="F31" s="86"/>
      <c r="G31" s="86">
        <f>G30</f>
        <v>1</v>
      </c>
      <c r="H31" s="86"/>
      <c r="I31" s="86"/>
      <c r="J31" s="86"/>
      <c r="K31" s="86"/>
      <c r="L31" s="86"/>
      <c r="M31" s="86"/>
      <c r="N31" s="86"/>
      <c r="O31" s="86"/>
      <c r="P31" s="86"/>
    </row>
    <row r="32" spans="1:16" x14ac:dyDescent="0.25">
      <c r="A32" s="303" t="str">
        <f>PO!A78</f>
        <v>1.8</v>
      </c>
      <c r="B32" s="306" t="str">
        <f>PO!D78</f>
        <v>ESPELHO D'ÁGUA</v>
      </c>
      <c r="C32" s="309">
        <f>PO!I78</f>
        <v>53206.270000000004</v>
      </c>
      <c r="D32" s="82" t="s">
        <v>132</v>
      </c>
      <c r="E32" s="83">
        <f>C32</f>
        <v>53206.270000000004</v>
      </c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</row>
    <row r="33" spans="1:16" x14ac:dyDescent="0.25">
      <c r="A33" s="304"/>
      <c r="B33" s="307"/>
      <c r="C33" s="310"/>
      <c r="D33" s="84" t="s">
        <v>22</v>
      </c>
      <c r="E33" s="85">
        <f>E32/C32</f>
        <v>1</v>
      </c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</row>
    <row r="34" spans="1:16" x14ac:dyDescent="0.25">
      <c r="A34" s="305"/>
      <c r="B34" s="308"/>
      <c r="C34" s="311"/>
      <c r="D34" s="86" t="s">
        <v>133</v>
      </c>
      <c r="E34" s="87">
        <f>E33</f>
        <v>1</v>
      </c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</row>
    <row r="35" spans="1:16" x14ac:dyDescent="0.25">
      <c r="A35" s="88"/>
      <c r="B35" s="89" t="s">
        <v>134</v>
      </c>
      <c r="C35" s="90">
        <f>SUM(C11:C34)</f>
        <v>323415.79000000004</v>
      </c>
      <c r="D35" s="91"/>
      <c r="E35" s="92">
        <f>E26+E23+E32+E29+E20+E17+E14+E11</f>
        <v>59275</v>
      </c>
      <c r="F35" s="92">
        <f t="shared" ref="F35:H35" si="0">F26+F23+F32+F29+F20+F17+F14+F11</f>
        <v>64411.770000000004</v>
      </c>
      <c r="G35" s="92">
        <f t="shared" si="0"/>
        <v>36259.120000000003</v>
      </c>
      <c r="H35" s="92">
        <f t="shared" si="0"/>
        <v>67126.929999999993</v>
      </c>
      <c r="I35" s="92">
        <f t="shared" ref="I35:J35" si="1">I26+I23+I32+I29+I20+I17+I14+I11</f>
        <v>67126.929999999993</v>
      </c>
      <c r="J35" s="92">
        <f t="shared" si="1"/>
        <v>29216.039999999997</v>
      </c>
      <c r="K35" s="92"/>
      <c r="L35" s="92"/>
      <c r="M35" s="92"/>
      <c r="N35" s="92"/>
      <c r="O35" s="92"/>
      <c r="P35" s="92"/>
    </row>
    <row r="36" spans="1:16" x14ac:dyDescent="0.25">
      <c r="A36" s="88"/>
      <c r="B36" s="89" t="s">
        <v>22</v>
      </c>
      <c r="C36" s="93">
        <v>1</v>
      </c>
      <c r="D36" s="94"/>
      <c r="E36" s="95">
        <f>ROUND(E35/$C$35,4)</f>
        <v>0.18329999999999999</v>
      </c>
      <c r="F36" s="95">
        <f t="shared" ref="F36:H36" si="2">ROUND(F35/$C$35,4)</f>
        <v>0.19919999999999999</v>
      </c>
      <c r="G36" s="95">
        <f t="shared" si="2"/>
        <v>0.11210000000000001</v>
      </c>
      <c r="H36" s="95">
        <f t="shared" si="2"/>
        <v>0.20760000000000001</v>
      </c>
      <c r="I36" s="95">
        <f t="shared" ref="I36" si="3">ROUND(I35/$C$35,4)</f>
        <v>0.20760000000000001</v>
      </c>
      <c r="J36" s="95">
        <f t="shared" ref="J36" si="4">ROUND(J35/$C$35,4)</f>
        <v>9.0300000000000005E-2</v>
      </c>
      <c r="K36" s="95"/>
      <c r="L36" s="95"/>
      <c r="M36" s="95"/>
      <c r="N36" s="95"/>
      <c r="O36" s="95"/>
      <c r="P36" s="95"/>
    </row>
    <row r="37" spans="1:16" x14ac:dyDescent="0.25">
      <c r="A37" s="96"/>
      <c r="B37" s="89" t="s">
        <v>135</v>
      </c>
      <c r="C37" s="94"/>
      <c r="D37" s="94"/>
      <c r="E37" s="97">
        <f>E35</f>
        <v>59275</v>
      </c>
      <c r="F37" s="97">
        <f>E37+F35</f>
        <v>123686.77</v>
      </c>
      <c r="G37" s="97">
        <f>F37+G35</f>
        <v>159945.89000000001</v>
      </c>
      <c r="H37" s="97">
        <f>G37+H35</f>
        <v>227072.82</v>
      </c>
      <c r="I37" s="97">
        <f t="shared" ref="I37:J37" si="5">H37+I35</f>
        <v>294199.75</v>
      </c>
      <c r="J37" s="97">
        <f t="shared" si="5"/>
        <v>323415.78999999998</v>
      </c>
      <c r="K37" s="97"/>
      <c r="L37" s="97"/>
      <c r="M37" s="97"/>
      <c r="N37" s="97"/>
      <c r="O37" s="97"/>
      <c r="P37" s="97"/>
    </row>
    <row r="38" spans="1:16" x14ac:dyDescent="0.25">
      <c r="A38" s="88"/>
      <c r="B38" s="89" t="s">
        <v>136</v>
      </c>
      <c r="C38" s="94"/>
      <c r="D38" s="94"/>
      <c r="E38" s="98">
        <f>E37/$C$35</f>
        <v>0.18327800259845073</v>
      </c>
      <c r="F38" s="98">
        <f>F37/$C$35</f>
        <v>0.38243887226409073</v>
      </c>
      <c r="G38" s="98">
        <f>G37/$C$35</f>
        <v>0.49455188938054012</v>
      </c>
      <c r="H38" s="98">
        <f>H37/$C$35</f>
        <v>0.70210802014335782</v>
      </c>
      <c r="I38" s="98">
        <f t="shared" ref="I38:J38" si="6">I37/$C$35</f>
        <v>0.90966415090617547</v>
      </c>
      <c r="J38" s="98">
        <f t="shared" si="6"/>
        <v>0.99999999999999978</v>
      </c>
      <c r="K38" s="98"/>
      <c r="L38" s="98"/>
      <c r="M38" s="98"/>
      <c r="N38" s="98"/>
      <c r="O38" s="98"/>
      <c r="P38" s="98"/>
    </row>
    <row r="39" spans="1:16" x14ac:dyDescent="0.25">
      <c r="A39" s="99"/>
      <c r="B39" s="100"/>
      <c r="C39" s="101"/>
      <c r="D39" s="101"/>
      <c r="E39" s="101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</row>
    <row r="40" spans="1:16" x14ac:dyDescent="0.25">
      <c r="A40" s="99"/>
      <c r="B40" s="100"/>
      <c r="C40" s="101"/>
      <c r="D40" s="101"/>
      <c r="E40" s="101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</row>
    <row r="41" spans="1:16" ht="15" customHeight="1" x14ac:dyDescent="0.25">
      <c r="A41" s="103"/>
      <c r="B41" s="104"/>
      <c r="C41" s="11"/>
      <c r="D41" s="11"/>
      <c r="E41" s="11"/>
      <c r="F41" s="105"/>
      <c r="G41" s="105"/>
      <c r="H41" s="105"/>
      <c r="I41" s="105"/>
      <c r="J41" s="314" t="s">
        <v>80</v>
      </c>
      <c r="K41" s="314"/>
      <c r="L41" s="315">
        <f ca="1">TODAY()</f>
        <v>45127</v>
      </c>
      <c r="M41" s="315"/>
      <c r="N41" s="315"/>
      <c r="O41" s="315"/>
      <c r="P41" s="315"/>
    </row>
    <row r="42" spans="1:16" x14ac:dyDescent="0.25">
      <c r="A42" s="103"/>
      <c r="B42" s="104"/>
      <c r="C42" s="106"/>
      <c r="D42" s="106"/>
      <c r="E42" s="11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</row>
    <row r="43" spans="1:16" x14ac:dyDescent="0.25">
      <c r="A43" s="103"/>
      <c r="B43" s="104"/>
      <c r="C43" s="106"/>
      <c r="D43" s="106"/>
      <c r="E43" s="11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</row>
    <row r="44" spans="1:16" x14ac:dyDescent="0.25">
      <c r="A44" s="103"/>
      <c r="B44" s="107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</row>
    <row r="45" spans="1:16" x14ac:dyDescent="0.25">
      <c r="A45" s="103"/>
      <c r="B45" s="33"/>
      <c r="C45" s="33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</row>
    <row r="46" spans="1:16" x14ac:dyDescent="0.25">
      <c r="A46" s="103"/>
      <c r="B46" s="33"/>
      <c r="C46" s="33"/>
      <c r="D46" s="33"/>
      <c r="E46" s="33"/>
      <c r="F46" s="33"/>
      <c r="G46" s="33"/>
      <c r="H46" s="33"/>
      <c r="I46" s="33"/>
      <c r="J46" s="33"/>
      <c r="K46" s="108"/>
      <c r="L46" s="108"/>
      <c r="M46" s="108"/>
      <c r="P46" s="33"/>
    </row>
    <row r="47" spans="1:16" x14ac:dyDescent="0.25">
      <c r="A47" s="103"/>
      <c r="B47" s="33"/>
      <c r="C47" s="33"/>
      <c r="D47" s="11"/>
      <c r="E47" s="11"/>
      <c r="F47" s="33"/>
      <c r="G47" s="33"/>
      <c r="H47" s="33"/>
      <c r="I47" s="33"/>
      <c r="J47" s="33"/>
      <c r="K47" s="312"/>
      <c r="L47" s="312"/>
      <c r="M47" s="312"/>
      <c r="P47" s="33"/>
    </row>
    <row r="48" spans="1:16" x14ac:dyDescent="0.25">
      <c r="A48" s="33"/>
      <c r="B48" s="33"/>
      <c r="C48" s="33"/>
      <c r="D48" s="11"/>
      <c r="E48" s="11"/>
      <c r="F48" s="109"/>
      <c r="G48" s="109"/>
      <c r="H48" s="109"/>
      <c r="I48" s="109"/>
      <c r="J48" s="109"/>
      <c r="K48" s="313"/>
      <c r="L48" s="313"/>
      <c r="M48" s="313"/>
      <c r="N48" s="109"/>
      <c r="O48" s="109"/>
      <c r="P48" s="109"/>
    </row>
    <row r="49" spans="1:16" x14ac:dyDescent="0.25">
      <c r="A49" s="33"/>
      <c r="B49" s="33"/>
      <c r="C49" s="33"/>
      <c r="D49" s="11"/>
      <c r="E49" s="11"/>
      <c r="F49" s="109"/>
      <c r="G49" s="109"/>
      <c r="H49" s="109"/>
      <c r="I49" s="109"/>
      <c r="J49" s="109"/>
      <c r="K49" s="313"/>
      <c r="L49" s="313"/>
      <c r="M49" s="313"/>
      <c r="N49" s="109"/>
      <c r="O49" s="109"/>
      <c r="P49" s="109"/>
    </row>
    <row r="50" spans="1:16" x14ac:dyDescent="0.25">
      <c r="A50" s="33"/>
      <c r="B50" s="33"/>
      <c r="C50" s="33"/>
      <c r="D50" s="11"/>
      <c r="E50" s="11"/>
      <c r="F50" s="109"/>
      <c r="G50" s="109"/>
      <c r="H50" s="109"/>
      <c r="I50" s="109"/>
      <c r="J50" s="109"/>
      <c r="K50" s="313"/>
      <c r="L50" s="313"/>
      <c r="M50" s="313"/>
      <c r="N50" s="109"/>
      <c r="O50" s="109"/>
      <c r="P50" s="109"/>
    </row>
    <row r="51" spans="1:16" x14ac:dyDescent="0.25"/>
  </sheetData>
  <mergeCells count="43">
    <mergeCell ref="B1:P1"/>
    <mergeCell ref="A2:A5"/>
    <mergeCell ref="B2:P2"/>
    <mergeCell ref="B3:P3"/>
    <mergeCell ref="B4:P4"/>
    <mergeCell ref="B5:P5"/>
    <mergeCell ref="A6:P6"/>
    <mergeCell ref="A8:P8"/>
    <mergeCell ref="A9:A10"/>
    <mergeCell ref="B9:B10"/>
    <mergeCell ref="C9:C10"/>
    <mergeCell ref="D9:D10"/>
    <mergeCell ref="E9:P9"/>
    <mergeCell ref="A23:A25"/>
    <mergeCell ref="B23:B25"/>
    <mergeCell ref="C23:C25"/>
    <mergeCell ref="A26:A28"/>
    <mergeCell ref="B26:B28"/>
    <mergeCell ref="C26:C28"/>
    <mergeCell ref="K47:M47"/>
    <mergeCell ref="K48:M48"/>
    <mergeCell ref="K49:M49"/>
    <mergeCell ref="K50:M50"/>
    <mergeCell ref="A29:A31"/>
    <mergeCell ref="B29:B31"/>
    <mergeCell ref="C29:C31"/>
    <mergeCell ref="J41:K41"/>
    <mergeCell ref="L41:P41"/>
    <mergeCell ref="A32:A34"/>
    <mergeCell ref="B32:B34"/>
    <mergeCell ref="C32:C34"/>
    <mergeCell ref="A11:A13"/>
    <mergeCell ref="B11:B13"/>
    <mergeCell ref="C11:C13"/>
    <mergeCell ref="A14:A16"/>
    <mergeCell ref="B14:B16"/>
    <mergeCell ref="C14:C16"/>
    <mergeCell ref="A17:A19"/>
    <mergeCell ref="B17:B19"/>
    <mergeCell ref="C17:C19"/>
    <mergeCell ref="A20:A22"/>
    <mergeCell ref="B20:B22"/>
    <mergeCell ref="C20:C22"/>
  </mergeCells>
  <pageMargins left="0.51181102362204722" right="0.51181102362204722" top="0.78740157480314965" bottom="0.78740157480314965" header="0.31496062992125984" footer="0.31496062992125984"/>
  <pageSetup paperSize="9" scale="57" fitToHeight="0" orientation="landscape" horizontalDpi="4294967294" verticalDpi="4294967294" r:id="rId1"/>
  <headerFooter>
    <oddFooter>&amp;CPágina &amp;P de &amp;N&amp;R&amp;D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workbookViewId="0">
      <selection activeCell="E6" sqref="E6"/>
    </sheetView>
  </sheetViews>
  <sheetFormatPr defaultRowHeight="15" x14ac:dyDescent="0.25"/>
  <cols>
    <col min="1" max="1" width="15.85546875" style="65" customWidth="1"/>
    <col min="2" max="2" width="80.5703125" style="65" customWidth="1"/>
    <col min="3" max="3" width="11.28515625" style="65" customWidth="1"/>
    <col min="4" max="4" width="14" style="65" customWidth="1"/>
    <col min="5" max="5" width="9.7109375" style="65" bestFit="1" customWidth="1"/>
    <col min="6" max="6" width="10.28515625" style="33" bestFit="1" customWidth="1"/>
    <col min="7" max="7" width="23.85546875" style="33" customWidth="1"/>
    <col min="8" max="8" width="11.85546875" bestFit="1" customWidth="1"/>
    <col min="10" max="10" width="10.5703125" bestFit="1" customWidth="1"/>
  </cols>
  <sheetData>
    <row r="1" spans="1:10" x14ac:dyDescent="0.25">
      <c r="A1" s="65" t="s">
        <v>120</v>
      </c>
      <c r="B1" s="65" t="s">
        <v>121</v>
      </c>
      <c r="C1" s="65" t="s">
        <v>17</v>
      </c>
      <c r="D1" s="65" t="s">
        <v>122</v>
      </c>
      <c r="E1" s="65" t="s">
        <v>123</v>
      </c>
      <c r="F1" s="33" t="s">
        <v>124</v>
      </c>
      <c r="H1" s="110"/>
      <c r="I1" s="110" t="s">
        <v>116</v>
      </c>
      <c r="J1" s="110" t="s">
        <v>118</v>
      </c>
    </row>
    <row r="2" spans="1:10" s="33" customFormat="1" x14ac:dyDescent="0.25">
      <c r="A2" s="75" t="s">
        <v>127</v>
      </c>
      <c r="B2" s="75" t="s">
        <v>126</v>
      </c>
      <c r="C2" s="75" t="s">
        <v>49</v>
      </c>
      <c r="D2" s="75"/>
      <c r="E2" s="75"/>
      <c r="F2" s="76">
        <f>SUM(F3:F6)</f>
        <v>47.21</v>
      </c>
      <c r="H2" s="110" t="s">
        <v>117</v>
      </c>
      <c r="I2" s="110">
        <f>3.5/12</f>
        <v>0.29166666666666669</v>
      </c>
      <c r="J2" s="110">
        <f>428.79/3.6</f>
        <v>119.10833333333333</v>
      </c>
    </row>
    <row r="3" spans="1:10" s="33" customFormat="1" x14ac:dyDescent="0.25">
      <c r="A3" s="65" t="s">
        <v>109</v>
      </c>
      <c r="B3" s="65" t="s">
        <v>110</v>
      </c>
      <c r="C3" s="65" t="s">
        <v>83</v>
      </c>
      <c r="D3" s="65">
        <v>0.4</v>
      </c>
      <c r="E3" s="65">
        <v>12.44</v>
      </c>
      <c r="F3" s="33">
        <f>ROUND(E3*D3,2)</f>
        <v>4.9800000000000004</v>
      </c>
      <c r="H3" s="110" t="s">
        <v>137</v>
      </c>
      <c r="I3" s="110">
        <f>18/52.2</f>
        <v>0.34482758620689652</v>
      </c>
      <c r="J3" s="110">
        <f>22240/(8*18.9)</f>
        <v>147.08994708994709</v>
      </c>
    </row>
    <row r="4" spans="1:10" s="33" customFormat="1" x14ac:dyDescent="0.25">
      <c r="A4" s="65" t="s">
        <v>111</v>
      </c>
      <c r="B4" s="65" t="s">
        <v>112</v>
      </c>
      <c r="C4" s="65" t="s">
        <v>83</v>
      </c>
      <c r="D4" s="65">
        <v>0.3</v>
      </c>
      <c r="E4" s="65">
        <v>8.5299999999999994</v>
      </c>
      <c r="F4" s="33">
        <f t="shared" ref="F4:F6" si="0">ROUND(E4*D4,2)</f>
        <v>2.56</v>
      </c>
      <c r="H4" s="110" t="s">
        <v>119</v>
      </c>
      <c r="I4" s="110">
        <f>3.6/(50/4)</f>
        <v>0.28800000000000003</v>
      </c>
      <c r="J4" s="110">
        <f>424.9/3.6</f>
        <v>118.02777777777777</v>
      </c>
    </row>
    <row r="5" spans="1:10" s="33" customFormat="1" x14ac:dyDescent="0.25">
      <c r="A5" s="65" t="s">
        <v>113</v>
      </c>
      <c r="B5" s="65" t="s">
        <v>114</v>
      </c>
      <c r="C5" s="65" t="s">
        <v>91</v>
      </c>
      <c r="D5" s="65">
        <v>0.3</v>
      </c>
      <c r="E5" s="65">
        <v>0.68</v>
      </c>
      <c r="F5" s="33">
        <f t="shared" si="0"/>
        <v>0.2</v>
      </c>
    </row>
    <row r="6" spans="1:10" s="33" customFormat="1" x14ac:dyDescent="0.25">
      <c r="A6" s="65" t="s">
        <v>115</v>
      </c>
      <c r="B6" s="68" t="s">
        <v>125</v>
      </c>
      <c r="C6" s="65" t="s">
        <v>33</v>
      </c>
      <c r="D6" s="65">
        <f>ROUND(AVERAGE(I2:I4),4)</f>
        <v>0.30819999999999997</v>
      </c>
      <c r="E6" s="65">
        <f>ROUND(AVERAGE(J2:J4),2)</f>
        <v>128.08000000000001</v>
      </c>
      <c r="F6" s="33">
        <f t="shared" si="0"/>
        <v>39.47</v>
      </c>
      <c r="J6" s="33">
        <f>AVERAGE(J2:J4)</f>
        <v>128.07535273368606</v>
      </c>
    </row>
    <row r="7" spans="1:10" s="33" customFormat="1" x14ac:dyDescent="0.25">
      <c r="A7" s="65"/>
      <c r="B7" s="65"/>
      <c r="C7" s="65"/>
      <c r="D7" s="65"/>
      <c r="E7" s="65"/>
    </row>
    <row r="8" spans="1:10" x14ac:dyDescent="0.25">
      <c r="J8" s="74"/>
    </row>
  </sheetData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zoomScaleNormal="100" workbookViewId="0">
      <selection activeCell="I33" sqref="I33"/>
    </sheetView>
  </sheetViews>
  <sheetFormatPr defaultRowHeight="15" x14ac:dyDescent="0.25"/>
  <cols>
    <col min="1" max="1" width="13.85546875" customWidth="1"/>
    <col min="2" max="2" width="12.5703125" bestFit="1" customWidth="1"/>
    <col min="3" max="3" width="5.140625" bestFit="1" customWidth="1"/>
    <col min="4" max="4" width="18.5703125" bestFit="1" customWidth="1"/>
    <col min="5" max="5" width="8" bestFit="1" customWidth="1"/>
    <col min="6" max="6" width="22.5703125" bestFit="1" customWidth="1"/>
    <col min="7" max="7" width="11.140625" bestFit="1" customWidth="1"/>
  </cols>
  <sheetData>
    <row r="1" spans="1:7" s="51" customFormat="1" x14ac:dyDescent="0.25">
      <c r="A1" s="51" t="s">
        <v>77</v>
      </c>
    </row>
    <row r="2" spans="1:7" x14ac:dyDescent="0.25">
      <c r="A2" s="34"/>
      <c r="B2" s="35" t="s">
        <v>53</v>
      </c>
      <c r="C2" s="35" t="s">
        <v>54</v>
      </c>
      <c r="D2" s="35" t="s">
        <v>55</v>
      </c>
      <c r="E2" s="35" t="s">
        <v>18</v>
      </c>
      <c r="F2" s="267" t="s">
        <v>56</v>
      </c>
      <c r="G2" s="267"/>
    </row>
    <row r="3" spans="1:7" x14ac:dyDescent="0.25">
      <c r="A3" s="36"/>
      <c r="B3" s="37"/>
      <c r="C3" s="37"/>
      <c r="D3" s="37"/>
      <c r="E3" s="37"/>
      <c r="F3" s="52" t="s">
        <v>57</v>
      </c>
      <c r="G3" s="52" t="s">
        <v>58</v>
      </c>
    </row>
    <row r="4" spans="1:7" x14ac:dyDescent="0.25">
      <c r="A4" s="38" t="s">
        <v>85</v>
      </c>
      <c r="B4" s="59" t="e">
        <f>MC!#REF!</f>
        <v>#REF!</v>
      </c>
      <c r="C4" s="54" t="s">
        <v>86</v>
      </c>
      <c r="D4" s="39"/>
      <c r="E4" s="39"/>
      <c r="F4" s="39"/>
      <c r="G4" s="40"/>
    </row>
    <row r="5" spans="1:7" x14ac:dyDescent="0.25">
      <c r="A5" s="41"/>
      <c r="B5" s="55" t="s">
        <v>59</v>
      </c>
      <c r="C5" s="55" t="s">
        <v>60</v>
      </c>
      <c r="D5" s="46">
        <v>10</v>
      </c>
      <c r="E5" s="55" t="e">
        <f>8*B4</f>
        <v>#REF!</v>
      </c>
      <c r="F5" s="55">
        <v>74</v>
      </c>
      <c r="G5" s="55" t="e">
        <f>F5*E5</f>
        <v>#REF!</v>
      </c>
    </row>
    <row r="6" spans="1:7" x14ac:dyDescent="0.25">
      <c r="A6" s="41"/>
      <c r="B6" s="55" t="s">
        <v>59</v>
      </c>
      <c r="C6" s="55" t="s">
        <v>61</v>
      </c>
      <c r="D6" s="46">
        <v>10</v>
      </c>
      <c r="E6" s="55" t="e">
        <f>6*B4</f>
        <v>#REF!</v>
      </c>
      <c r="F6" s="55">
        <v>94</v>
      </c>
      <c r="G6" s="55" t="e">
        <f t="shared" ref="G6:G12" si="0">F6*E6</f>
        <v>#REF!</v>
      </c>
    </row>
    <row r="7" spans="1:7" x14ac:dyDescent="0.25">
      <c r="A7" s="41"/>
      <c r="B7" s="55" t="s">
        <v>59</v>
      </c>
      <c r="C7" s="55" t="s">
        <v>63</v>
      </c>
      <c r="D7" s="46">
        <v>10</v>
      </c>
      <c r="E7" s="55" t="e">
        <f>10*B4</f>
        <v>#REF!</v>
      </c>
      <c r="F7" s="55">
        <v>170</v>
      </c>
      <c r="G7" s="55" t="e">
        <f t="shared" si="0"/>
        <v>#REF!</v>
      </c>
    </row>
    <row r="8" spans="1:7" x14ac:dyDescent="0.25">
      <c r="A8" s="41"/>
      <c r="B8" s="55" t="s">
        <v>62</v>
      </c>
      <c r="C8" s="55" t="s">
        <v>70</v>
      </c>
      <c r="D8" s="46">
        <v>5</v>
      </c>
      <c r="E8" s="55" t="e">
        <f>8*B4</f>
        <v>#REF!</v>
      </c>
      <c r="F8" s="55">
        <v>150</v>
      </c>
      <c r="G8" s="55" t="e">
        <f t="shared" si="0"/>
        <v>#REF!</v>
      </c>
    </row>
    <row r="9" spans="1:7" hidden="1" x14ac:dyDescent="0.25">
      <c r="A9" s="41"/>
      <c r="B9" s="35" t="s">
        <v>59</v>
      </c>
      <c r="C9" s="35" t="s">
        <v>71</v>
      </c>
      <c r="D9" s="42"/>
      <c r="E9" s="35"/>
      <c r="F9" s="35"/>
      <c r="G9" s="35">
        <f t="shared" si="0"/>
        <v>0</v>
      </c>
    </row>
    <row r="10" spans="1:7" hidden="1" x14ac:dyDescent="0.25">
      <c r="A10" s="41"/>
      <c r="B10" s="43" t="s">
        <v>59</v>
      </c>
      <c r="C10" s="35" t="s">
        <v>72</v>
      </c>
      <c r="D10" s="44"/>
      <c r="E10" s="43"/>
      <c r="F10" s="43"/>
      <c r="G10" s="35">
        <f t="shared" si="0"/>
        <v>0</v>
      </c>
    </row>
    <row r="11" spans="1:7" hidden="1" x14ac:dyDescent="0.25">
      <c r="A11" s="41"/>
      <c r="B11" s="35" t="s">
        <v>59</v>
      </c>
      <c r="C11" s="35" t="s">
        <v>73</v>
      </c>
      <c r="D11" s="42"/>
      <c r="E11" s="35"/>
      <c r="F11" s="35"/>
      <c r="G11" s="35">
        <f t="shared" si="0"/>
        <v>0</v>
      </c>
    </row>
    <row r="12" spans="1:7" hidden="1" x14ac:dyDescent="0.25">
      <c r="A12" s="41"/>
      <c r="B12" s="43" t="s">
        <v>59</v>
      </c>
      <c r="C12" s="35" t="s">
        <v>74</v>
      </c>
      <c r="D12" s="44"/>
      <c r="E12" s="43"/>
      <c r="F12" s="43"/>
      <c r="G12" s="35">
        <f t="shared" si="0"/>
        <v>0</v>
      </c>
    </row>
    <row r="13" spans="1:7" hidden="1" x14ac:dyDescent="0.25">
      <c r="A13" s="41"/>
      <c r="B13" s="43" t="s">
        <v>62</v>
      </c>
      <c r="C13" s="35" t="s">
        <v>75</v>
      </c>
      <c r="D13" s="44"/>
      <c r="E13" s="43"/>
      <c r="F13" s="43"/>
      <c r="G13" s="35">
        <f>F13*E13</f>
        <v>0</v>
      </c>
    </row>
    <row r="14" spans="1:7" x14ac:dyDescent="0.25">
      <c r="A14" s="47"/>
      <c r="B14" s="48"/>
      <c r="C14" s="48"/>
      <c r="D14" s="48"/>
      <c r="E14" s="48"/>
      <c r="F14" s="48"/>
      <c r="G14" s="49"/>
    </row>
    <row r="15" spans="1:7" x14ac:dyDescent="0.25">
      <c r="A15" s="52" t="s">
        <v>53</v>
      </c>
      <c r="B15" s="261" t="s">
        <v>55</v>
      </c>
      <c r="C15" s="262"/>
      <c r="D15" s="261" t="s">
        <v>64</v>
      </c>
      <c r="E15" s="262"/>
      <c r="F15" s="60" t="s">
        <v>88</v>
      </c>
      <c r="G15" s="52" t="s">
        <v>65</v>
      </c>
    </row>
    <row r="16" spans="1:7" x14ac:dyDescent="0.25">
      <c r="A16" s="52" t="s">
        <v>59</v>
      </c>
      <c r="B16" s="268">
        <v>10</v>
      </c>
      <c r="C16" s="269"/>
      <c r="D16" s="261" t="e">
        <f>SUMIF(D5:D13,B16,G5:G13)/100</f>
        <v>#REF!</v>
      </c>
      <c r="E16" s="262"/>
      <c r="F16" s="52">
        <v>0.61699999999999999</v>
      </c>
      <c r="G16" s="52" t="e">
        <f>ROUND(F16*D16,2)</f>
        <v>#REF!</v>
      </c>
    </row>
    <row r="17" spans="1:7" x14ac:dyDescent="0.25">
      <c r="A17" s="52" t="s">
        <v>62</v>
      </c>
      <c r="B17" s="268">
        <v>5</v>
      </c>
      <c r="C17" s="269"/>
      <c r="D17" s="261" t="e">
        <f>SUMIF(D5:D13,B17,G5:G13)/100</f>
        <v>#REF!</v>
      </c>
      <c r="E17" s="262"/>
      <c r="F17" s="52">
        <v>0.154</v>
      </c>
      <c r="G17" s="52" t="e">
        <f t="shared" ref="G17" si="1">ROUND(F17*D17,2)</f>
        <v>#REF!</v>
      </c>
    </row>
    <row r="18" spans="1:7" hidden="1" x14ac:dyDescent="0.25">
      <c r="A18" s="47"/>
      <c r="B18" s="48"/>
      <c r="C18" s="48"/>
      <c r="D18" s="48"/>
      <c r="E18" s="48"/>
      <c r="F18" s="48"/>
      <c r="G18" s="49"/>
    </row>
    <row r="19" spans="1:7" x14ac:dyDescent="0.25">
      <c r="A19" s="47"/>
      <c r="B19" s="48"/>
      <c r="C19" s="48"/>
      <c r="D19" s="48"/>
      <c r="E19" s="48"/>
      <c r="F19" s="50" t="s">
        <v>66</v>
      </c>
      <c r="G19" s="46" t="e">
        <f>G16</f>
        <v>#REF!</v>
      </c>
    </row>
    <row r="20" spans="1:7" hidden="1" x14ac:dyDescent="0.25">
      <c r="A20" s="47"/>
      <c r="B20" s="48"/>
      <c r="C20" s="48"/>
      <c r="D20" s="48"/>
      <c r="E20" s="48"/>
      <c r="F20" s="50" t="s">
        <v>67</v>
      </c>
      <c r="G20" s="52"/>
    </row>
    <row r="21" spans="1:7" hidden="1" x14ac:dyDescent="0.25">
      <c r="A21" s="47"/>
      <c r="B21" s="48"/>
      <c r="C21" s="48"/>
      <c r="D21" s="48"/>
      <c r="E21" s="48"/>
      <c r="F21" s="48"/>
      <c r="G21" s="49"/>
    </row>
    <row r="22" spans="1:7" x14ac:dyDescent="0.25">
      <c r="A22" s="47"/>
      <c r="B22" s="48"/>
      <c r="C22" s="48"/>
      <c r="D22" s="48"/>
      <c r="E22" s="48"/>
      <c r="F22" s="50" t="s">
        <v>68</v>
      </c>
      <c r="G22" s="52" t="e">
        <f>G17</f>
        <v>#REF!</v>
      </c>
    </row>
    <row r="23" spans="1:7" hidden="1" x14ac:dyDescent="0.25">
      <c r="A23" s="47"/>
      <c r="B23" s="48"/>
      <c r="C23" s="48"/>
      <c r="D23" s="48"/>
      <c r="E23" s="48"/>
      <c r="F23" s="50" t="s">
        <v>69</v>
      </c>
      <c r="G23" s="52"/>
    </row>
    <row r="24" spans="1:7" s="51" customFormat="1" x14ac:dyDescent="0.25">
      <c r="A24" s="51" t="s">
        <v>76</v>
      </c>
    </row>
    <row r="25" spans="1:7" x14ac:dyDescent="0.25">
      <c r="A25" s="34"/>
      <c r="B25" s="35" t="s">
        <v>53</v>
      </c>
      <c r="C25" s="35" t="s">
        <v>54</v>
      </c>
      <c r="D25" s="35" t="s">
        <v>55</v>
      </c>
      <c r="E25" s="35" t="s">
        <v>18</v>
      </c>
      <c r="F25" s="267" t="s">
        <v>56</v>
      </c>
      <c r="G25" s="267"/>
    </row>
    <row r="26" spans="1:7" x14ac:dyDescent="0.25">
      <c r="A26" s="36"/>
      <c r="B26" s="37"/>
      <c r="C26" s="37"/>
      <c r="D26" s="37"/>
      <c r="E26" s="37"/>
      <c r="F26" s="52" t="s">
        <v>57</v>
      </c>
      <c r="G26" s="52" t="s">
        <v>58</v>
      </c>
    </row>
    <row r="27" spans="1:7" x14ac:dyDescent="0.25">
      <c r="A27" s="38" t="s">
        <v>87</v>
      </c>
      <c r="B27" s="53" t="e">
        <f>B4</f>
        <v>#REF!</v>
      </c>
      <c r="C27" s="54" t="s">
        <v>86</v>
      </c>
      <c r="D27" s="39"/>
      <c r="E27" s="39"/>
      <c r="F27" s="48"/>
      <c r="G27" s="40"/>
    </row>
    <row r="28" spans="1:7" hidden="1" x14ac:dyDescent="0.25">
      <c r="A28" s="41"/>
      <c r="B28" s="35" t="s">
        <v>59</v>
      </c>
      <c r="C28" s="35" t="s">
        <v>60</v>
      </c>
      <c r="D28" s="42"/>
      <c r="E28" s="35"/>
      <c r="F28" s="35"/>
      <c r="G28" s="35">
        <f>F28*E28</f>
        <v>0</v>
      </c>
    </row>
    <row r="29" spans="1:7" hidden="1" x14ac:dyDescent="0.25">
      <c r="A29" s="41"/>
      <c r="B29" s="43" t="s">
        <v>59</v>
      </c>
      <c r="C29" s="35" t="s">
        <v>61</v>
      </c>
      <c r="D29" s="44"/>
      <c r="E29" s="43"/>
      <c r="F29" s="43"/>
      <c r="G29" s="35">
        <f t="shared" ref="G29:G35" si="2">F29*E29</f>
        <v>0</v>
      </c>
    </row>
    <row r="30" spans="1:7" hidden="1" x14ac:dyDescent="0.25">
      <c r="A30" s="41"/>
      <c r="B30" s="35" t="s">
        <v>59</v>
      </c>
      <c r="C30" s="35" t="s">
        <v>63</v>
      </c>
      <c r="D30" s="42"/>
      <c r="E30" s="35"/>
      <c r="F30" s="35"/>
      <c r="G30" s="35">
        <f t="shared" si="2"/>
        <v>0</v>
      </c>
    </row>
    <row r="31" spans="1:7" hidden="1" x14ac:dyDescent="0.25">
      <c r="A31" s="41"/>
      <c r="B31" s="43" t="s">
        <v>62</v>
      </c>
      <c r="C31" s="35" t="s">
        <v>70</v>
      </c>
      <c r="D31" s="44"/>
      <c r="E31" s="43"/>
      <c r="F31" s="43"/>
      <c r="G31" s="35">
        <f t="shared" si="2"/>
        <v>0</v>
      </c>
    </row>
    <row r="32" spans="1:7" x14ac:dyDescent="0.25">
      <c r="A32" s="41"/>
      <c r="B32" s="55" t="s">
        <v>59</v>
      </c>
      <c r="C32" s="55" t="s">
        <v>71</v>
      </c>
      <c r="D32" s="46">
        <v>10</v>
      </c>
      <c r="E32" s="55" t="e">
        <f>6*B27</f>
        <v>#REF!</v>
      </c>
      <c r="F32" s="58">
        <v>395</v>
      </c>
      <c r="G32" s="55" t="e">
        <f t="shared" si="2"/>
        <v>#REF!</v>
      </c>
    </row>
    <row r="33" spans="1:7" x14ac:dyDescent="0.25">
      <c r="A33" s="41"/>
      <c r="B33" s="55" t="s">
        <v>59</v>
      </c>
      <c r="C33" s="55" t="s">
        <v>72</v>
      </c>
      <c r="D33" s="46">
        <v>10</v>
      </c>
      <c r="E33" s="55" t="e">
        <f>4*B27</f>
        <v>#REF!</v>
      </c>
      <c r="F33" s="58">
        <v>165</v>
      </c>
      <c r="G33" s="55" t="e">
        <f t="shared" si="2"/>
        <v>#REF!</v>
      </c>
    </row>
    <row r="34" spans="1:7" x14ac:dyDescent="0.25">
      <c r="A34" s="41"/>
      <c r="B34" s="55" t="s">
        <v>62</v>
      </c>
      <c r="C34" s="55" t="s">
        <v>73</v>
      </c>
      <c r="D34" s="46">
        <v>5</v>
      </c>
      <c r="E34" s="55" t="e">
        <f>14*B27</f>
        <v>#REF!</v>
      </c>
      <c r="F34" s="58">
        <v>150</v>
      </c>
      <c r="G34" s="55" t="e">
        <f t="shared" si="2"/>
        <v>#REF!</v>
      </c>
    </row>
    <row r="35" spans="1:7" x14ac:dyDescent="0.25">
      <c r="A35" s="41"/>
      <c r="B35" s="55" t="s">
        <v>62</v>
      </c>
      <c r="C35" s="55" t="s">
        <v>74</v>
      </c>
      <c r="D35" s="46">
        <v>5</v>
      </c>
      <c r="E35" s="55" t="e">
        <f>20*B27</f>
        <v>#REF!</v>
      </c>
      <c r="F35" s="58">
        <v>90</v>
      </c>
      <c r="G35" s="55" t="e">
        <f t="shared" si="2"/>
        <v>#REF!</v>
      </c>
    </row>
    <row r="36" spans="1:7" hidden="1" x14ac:dyDescent="0.25">
      <c r="A36" s="41"/>
      <c r="B36" s="43" t="s">
        <v>62</v>
      </c>
      <c r="C36" s="43" t="s">
        <v>75</v>
      </c>
      <c r="D36" s="44"/>
      <c r="E36" s="43"/>
      <c r="F36" s="43"/>
      <c r="G36" s="43">
        <f>F36*E36</f>
        <v>0</v>
      </c>
    </row>
    <row r="37" spans="1:7" x14ac:dyDescent="0.25">
      <c r="A37" s="47"/>
      <c r="B37" s="48"/>
      <c r="C37" s="48"/>
      <c r="D37" s="48"/>
      <c r="E37" s="48"/>
      <c r="F37" s="48"/>
      <c r="G37" s="49"/>
    </row>
    <row r="38" spans="1:7" x14ac:dyDescent="0.25">
      <c r="A38" s="52" t="s">
        <v>53</v>
      </c>
      <c r="B38" s="261" t="s">
        <v>55</v>
      </c>
      <c r="C38" s="262"/>
      <c r="D38" s="261" t="s">
        <v>64</v>
      </c>
      <c r="E38" s="262"/>
      <c r="F38" s="45" t="s">
        <v>88</v>
      </c>
      <c r="G38" s="52" t="s">
        <v>65</v>
      </c>
    </row>
    <row r="39" spans="1:7" x14ac:dyDescent="0.25">
      <c r="A39" s="52" t="s">
        <v>59</v>
      </c>
      <c r="B39" s="268">
        <v>10</v>
      </c>
      <c r="C39" s="269"/>
      <c r="D39" s="268" t="e">
        <f>SUMIF(D28:D36,B39,G28:G36)/100</f>
        <v>#REF!</v>
      </c>
      <c r="E39" s="269"/>
      <c r="F39" s="52">
        <v>0.61699999999999999</v>
      </c>
      <c r="G39" s="52" t="e">
        <f>ROUND(F39*D39,2)</f>
        <v>#REF!</v>
      </c>
    </row>
    <row r="40" spans="1:7" x14ac:dyDescent="0.25">
      <c r="A40" s="52" t="s">
        <v>62</v>
      </c>
      <c r="B40" s="268">
        <v>5</v>
      </c>
      <c r="C40" s="269"/>
      <c r="D40" s="268" t="e">
        <f>SUMIF(D28:D36,B40,G28:G36)/100</f>
        <v>#REF!</v>
      </c>
      <c r="E40" s="269"/>
      <c r="F40" s="52">
        <v>0.154</v>
      </c>
      <c r="G40" s="52" t="e">
        <f t="shared" ref="G40" si="3">ROUND(F40*D40,2)</f>
        <v>#REF!</v>
      </c>
    </row>
    <row r="41" spans="1:7" hidden="1" x14ac:dyDescent="0.25">
      <c r="A41" s="47"/>
      <c r="B41" s="48"/>
      <c r="C41" s="48"/>
      <c r="D41" s="48"/>
      <c r="E41" s="48"/>
      <c r="F41" s="48"/>
      <c r="G41" s="49"/>
    </row>
    <row r="42" spans="1:7" x14ac:dyDescent="0.25">
      <c r="A42" s="47"/>
      <c r="B42" s="48"/>
      <c r="C42" s="48"/>
      <c r="D42" s="48"/>
      <c r="E42" s="48"/>
      <c r="F42" s="50" t="s">
        <v>66</v>
      </c>
      <c r="G42" s="46" t="e">
        <f>G39</f>
        <v>#REF!</v>
      </c>
    </row>
    <row r="43" spans="1:7" hidden="1" x14ac:dyDescent="0.25">
      <c r="A43" s="47"/>
      <c r="B43" s="48"/>
      <c r="C43" s="48"/>
      <c r="D43" s="48"/>
      <c r="E43" s="48"/>
      <c r="F43" s="50" t="s">
        <v>67</v>
      </c>
      <c r="G43" s="52"/>
    </row>
    <row r="44" spans="1:7" hidden="1" x14ac:dyDescent="0.25">
      <c r="A44" s="47"/>
      <c r="B44" s="48"/>
      <c r="C44" s="48"/>
      <c r="D44" s="48"/>
      <c r="E44" s="48"/>
      <c r="F44" s="48"/>
      <c r="G44" s="49"/>
    </row>
    <row r="45" spans="1:7" x14ac:dyDescent="0.25">
      <c r="A45" s="47"/>
      <c r="B45" s="48"/>
      <c r="C45" s="48"/>
      <c r="D45" s="48"/>
      <c r="E45" s="48"/>
      <c r="F45" s="50" t="s">
        <v>68</v>
      </c>
      <c r="G45" s="52" t="e">
        <f>G40</f>
        <v>#REF!</v>
      </c>
    </row>
    <row r="46" spans="1:7" hidden="1" x14ac:dyDescent="0.25">
      <c r="A46" s="47"/>
      <c r="B46" s="48"/>
      <c r="C46" s="48"/>
      <c r="D46" s="48"/>
      <c r="E46" s="48"/>
      <c r="F46" s="50" t="s">
        <v>69</v>
      </c>
      <c r="G46" s="52"/>
    </row>
  </sheetData>
  <mergeCells count="14">
    <mergeCell ref="D40:E40"/>
    <mergeCell ref="F2:G2"/>
    <mergeCell ref="F25:G25"/>
    <mergeCell ref="B15:C15"/>
    <mergeCell ref="B16:C16"/>
    <mergeCell ref="B17:C17"/>
    <mergeCell ref="D15:E15"/>
    <mergeCell ref="D16:E16"/>
    <mergeCell ref="D17:E17"/>
    <mergeCell ref="B38:C38"/>
    <mergeCell ref="B39:C39"/>
    <mergeCell ref="B40:C40"/>
    <mergeCell ref="D39:E39"/>
    <mergeCell ref="D38:E38"/>
  </mergeCells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2</vt:i4>
      </vt:variant>
    </vt:vector>
  </HeadingPairs>
  <TitlesOfParts>
    <vt:vector size="11" baseType="lpstr">
      <vt:lpstr>BDI</vt:lpstr>
      <vt:lpstr>COMP</vt:lpstr>
      <vt:lpstr>aux</vt:lpstr>
      <vt:lpstr>aços</vt:lpstr>
      <vt:lpstr>MC</vt:lpstr>
      <vt:lpstr>PO</vt:lpstr>
      <vt:lpstr>CFF</vt:lpstr>
      <vt:lpstr>Planilha1</vt:lpstr>
      <vt:lpstr>AÇO</vt:lpstr>
      <vt:lpstr>MC!Titulos_de_impressao</vt:lpstr>
      <vt:lpstr>PO!Titulos_de_impressao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Obras</dc:creator>
  <cp:lastModifiedBy>User</cp:lastModifiedBy>
  <cp:lastPrinted>2023-04-28T12:45:19Z</cp:lastPrinted>
  <dcterms:created xsi:type="dcterms:W3CDTF">2019-06-11T16:49:49Z</dcterms:created>
  <dcterms:modified xsi:type="dcterms:W3CDTF">2023-07-20T19:47:38Z</dcterms:modified>
</cp:coreProperties>
</file>